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.leite\Desktop\Pessoal\IEPG\"/>
    </mc:Choice>
  </mc:AlternateContent>
  <xr:revisionPtr revIDLastSave="0" documentId="8_{38B007DF-31F4-4339-9F0C-1007EE8ABA99}" xr6:coauthVersionLast="47" xr6:coauthVersionMax="47" xr10:uidLastSave="{00000000-0000-0000-0000-000000000000}"/>
  <bookViews>
    <workbookView xWindow="28680" yWindow="-120" windowWidth="29040" windowHeight="15840" tabRatio="724" xr2:uid="{6DC46F17-5EFD-4BF2-B235-F09A8C1AF989}"/>
  </bookViews>
  <sheets>
    <sheet name="Índice" sheetId="18" r:id="rId1"/>
    <sheet name="Instruções" sheetId="4" r:id="rId2"/>
    <sheet name="Resumo" sheetId="19" r:id="rId3"/>
    <sheet name="BAL" sheetId="5" r:id="rId4"/>
    <sheet name="DR" sheetId="1" r:id="rId5"/>
    <sheet name="DFC" sheetId="6" r:id="rId6"/>
    <sheet name="Investimentos" sheetId="20" r:id="rId7"/>
    <sheet name="Eficiência operacional" sheetId="11" r:id="rId8"/>
    <sheet name="RH" sheetId="9" r:id="rId9"/>
    <sheet name="Mapa RH" sheetId="16" r:id="rId10"/>
    <sheet name="Outros" sheetId="14" r:id="rId11"/>
    <sheet name="Board" sheetId="12" r:id="rId12"/>
    <sheet name="Rácios Financeiros" sheetId="7" r:id="rId13"/>
  </sheets>
  <definedNames>
    <definedName name="Ajuda_Investimento">Instruções!$B$100</definedName>
    <definedName name="Ajuda_Investimento2">Instruções!$A$100:$H$131</definedName>
    <definedName name="Arrears_2022">Outros!$C$23</definedName>
    <definedName name="Arrears_2023">Outros!$E$23</definedName>
    <definedName name="Arrears_2024">Outros!$F$23</definedName>
    <definedName name="Arrears_2025">Outros!$G$23</definedName>
    <definedName name="Arrears_2026">Outros!$H$23</definedName>
    <definedName name="Ativo">BAL!$D$40:$M$40</definedName>
    <definedName name="Ativo_2022">BAL!$D$40</definedName>
    <definedName name="Ativo_2023">BAL!$F$40</definedName>
    <definedName name="Ativo_2024">BAL!$K$40</definedName>
    <definedName name="Ativo_2024_1T">BAL!$G$40</definedName>
    <definedName name="Ativo_2024_2T">BAL!$H$40</definedName>
    <definedName name="Ativo_2024_3T">BAL!$I$40</definedName>
    <definedName name="Ativo_2024_4T">BAL!$J$40</definedName>
    <definedName name="Ativo_2025">BAL!$L$40</definedName>
    <definedName name="Ativo_2026">BAL!$M$40</definedName>
    <definedName name="Ativo_Corrente">BAL!$D$39:$M$39</definedName>
    <definedName name="Ativo_Corrente_2022">BAL!$D$39</definedName>
    <definedName name="Ativo_Corrente_2023">BAL!$F$39</definedName>
    <definedName name="Ativo_Corrente_2024">BAL!$K$39</definedName>
    <definedName name="Ativo_Corrente_2025">BAL!$L$39</definedName>
    <definedName name="Ativo_Corrente_2026">BAL!$M$39</definedName>
    <definedName name="Ativo_Corrente_P2023">BAL!$E$39</definedName>
    <definedName name="Ativo_Não_Corrente">BAL!$D$23:$M$23</definedName>
    <definedName name="Ativo_Não_Corrente_2022">BAL!$D$23</definedName>
    <definedName name="Ativo_Não_Corrente_2023">BAL!$F$23</definedName>
    <definedName name="Ativo_Não_Corrente_2024">BAL!$K$23</definedName>
    <definedName name="Ativo_Não_Corrente_2025">BAL!$L$23</definedName>
    <definedName name="Ativo_Não_Corrente_2026">BAL!$M$23</definedName>
    <definedName name="Ativo_Não_Corrente_P2023">BAL!$E$23</definedName>
    <definedName name="Ativo_P2023">BAL!$E$40</definedName>
    <definedName name="Caixa_DFC_2022">DFC!$D$54</definedName>
    <definedName name="Caixa_DFC_2023">DFC!$F$54</definedName>
    <definedName name="Caixa_DFC_2024">DFC!$K$54</definedName>
    <definedName name="Caixa_DFC_2024_1T">DFC!$G$54</definedName>
    <definedName name="Caixa_DFC_2024_2T">DFC!$H$54</definedName>
    <definedName name="Caixa_DFC_2024_3T">DFC!$I$54</definedName>
    <definedName name="Caixa_DFC_2024_4T">DFC!$J$54</definedName>
    <definedName name="Caixa_DFC_2025">DFC!$L$54</definedName>
    <definedName name="Caixa_DFC_2026">DFC!$M$54</definedName>
    <definedName name="Caixa_DFC_P2023">DFC!$E$54</definedName>
    <definedName name="CMVMC_2022">DR!$D$15</definedName>
    <definedName name="CMVMC_2023">DR!$F$15</definedName>
    <definedName name="CMVMC_2024">DR!$K$15</definedName>
    <definedName name="CMVMC_2025">DR!$L$15</definedName>
    <definedName name="CMVMC_2026">DR!$M$15</definedName>
    <definedName name="CMVMC_P2023">DR!$E$15</definedName>
    <definedName name="Disponibilidade_2022">BAL!$D$38</definedName>
    <definedName name="Disponibilidade_2023">BAL!$F$38</definedName>
    <definedName name="Disponibilidade_2024">BAL!$K$38</definedName>
    <definedName name="Disponibilidade_2024_1T">BAL!$G$38</definedName>
    <definedName name="Disponibilidade_2024_2T">BAL!$H$38</definedName>
    <definedName name="Disponibilidade_2024_3T">BAL!$I$38</definedName>
    <definedName name="Disponibilidade_2024_4T">BAL!$J$38</definedName>
    <definedName name="Disponibilidade_2025">BAL!$L$38</definedName>
    <definedName name="Disponibilidade_2026">BAL!$M$38</definedName>
    <definedName name="Disponibilidade_P2023">BAL!$E$38</definedName>
    <definedName name="E_Oper_2022">'Eficiência operacional'!$C$29</definedName>
    <definedName name="E_Oper_2023">'Eficiência operacional'!$E$29</definedName>
    <definedName name="E_Oper_2024">'Eficiência operacional'!$F$29</definedName>
    <definedName name="E_Oper_2025">'Eficiência operacional'!$G$29</definedName>
    <definedName name="E_Oper_2026">'Eficiência operacional'!$H$29</definedName>
    <definedName name="EBITDA_2022">DR!$D$28</definedName>
    <definedName name="EBITDA_2023">DR!$F$28</definedName>
    <definedName name="EBITDA_2024">DR!$K$28</definedName>
    <definedName name="EBITDA_2025">DR!$L$28</definedName>
    <definedName name="EBITDA_2026">DR!$M$28</definedName>
    <definedName name="EBITDA_P2023">DR!$E$28</definedName>
    <definedName name="FO_PC_2022">BAL!$D$75</definedName>
    <definedName name="FO_PC_2023">BAL!$F$75</definedName>
    <definedName name="FO_PC_2024">BAL!$K$75</definedName>
    <definedName name="FO_PC_2025">BAL!$L$75</definedName>
    <definedName name="FO_PC_2026">BAL!$M$75</definedName>
    <definedName name="FO_PNC_2022">BAL!$D$60</definedName>
    <definedName name="FO_PNC_2023">BAL!$F$60</definedName>
    <definedName name="FO_PNC_2024">BAL!$K$60</definedName>
    <definedName name="FO_PNC_2025">BAL!$L$60</definedName>
    <definedName name="FO_PNC_2026">BAL!$M$60</definedName>
    <definedName name="FSE_2022">DR!$D$16</definedName>
    <definedName name="FSE_2023">DR!$F$16</definedName>
    <definedName name="FSE_2024">DR!$K$16</definedName>
    <definedName name="FSE_2025">DR!$L$16</definedName>
    <definedName name="FSE_2026">DR!$M$16</definedName>
    <definedName name="FSE_P2023">DR!$E$16</definedName>
    <definedName name="Gastos_com_órgãos_sociais_2022" localSheetId="9">'Mapa RH'!#REF!</definedName>
    <definedName name="Gastos_com_órgãos_sociais_2022">RH!$C$12</definedName>
    <definedName name="Gastos_com_órgãos_sociais_2023" localSheetId="9">'Mapa RH'!#REF!</definedName>
    <definedName name="Gastos_com_órgãos_sociais_2023">RH!$E$12</definedName>
    <definedName name="Gastos_com_órgãos_sociais_2024" localSheetId="9">'Mapa RH'!#REF!</definedName>
    <definedName name="Gastos_com_órgãos_sociais_2024">RH!$F$12</definedName>
    <definedName name="Gastos_com_órgãos_sociais_2025" localSheetId="9">'Mapa RH'!#REF!</definedName>
    <definedName name="Gastos_com_órgãos_sociais_2025">RH!$G$12</definedName>
    <definedName name="Gastos_com_órgãos_sociais_2026" localSheetId="9">'Mapa RH'!#REF!</definedName>
    <definedName name="Gastos_com_órgãos_sociais_2026">RH!$H$12</definedName>
    <definedName name="Gastos_com_órgãos_sociais_P2023">RH!$D$12</definedName>
    <definedName name="Gastos_Pessoal_2022">DR!$D$17</definedName>
    <definedName name="Gastos_Pessoal_2023">DR!$F$17</definedName>
    <definedName name="Gastos_Pessoal_2024">DR!$K$17</definedName>
    <definedName name="Gastos_Pessoal_2025">DR!$L$17</definedName>
    <definedName name="Gastos_Pessoal_2026">DR!$M$17</definedName>
    <definedName name="Gastos_Pessoal_P2023">DR!$E$17</definedName>
    <definedName name="GO_2022">'Eficiência operacional'!$C$16</definedName>
    <definedName name="GO_2023">'Eficiência operacional'!$E$16</definedName>
    <definedName name="GO_2024">'Eficiência operacional'!$F$16</definedName>
    <definedName name="GO_2025">'Eficiência operacional'!$G$16</definedName>
    <definedName name="GO_2026">'Eficiência operacional'!$H$16</definedName>
    <definedName name="O_G_Operac_2022">Outros!$C$38</definedName>
    <definedName name="O_G_Operac_2023">Outros!$E$38</definedName>
    <definedName name="O_G_Operac_2024">Outros!$F$38</definedName>
    <definedName name="O_G_Operac_2025">Outros!$G$38</definedName>
    <definedName name="O_G_Operac_2026">Outros!$H$38</definedName>
    <definedName name="Passivo">BAL!$D$83:$M$83</definedName>
    <definedName name="Passivo_2022">BAL!$D$83</definedName>
    <definedName name="Passivo_2023">BAL!$F$83</definedName>
    <definedName name="Passivo_2024">BAL!$K$83</definedName>
    <definedName name="Passivo_2025">BAL!$L$83</definedName>
    <definedName name="Passivo_2026">BAL!$M$83</definedName>
    <definedName name="Passivo_Corrente">BAL!$D$81:$M$81</definedName>
    <definedName name="Passivo_Corrente_2022">BAL!$D$81</definedName>
    <definedName name="Passivo_Corrente_2023">BAL!$F$81</definedName>
    <definedName name="Passivo_Corrente_2024">BAL!$K$81</definedName>
    <definedName name="Passivo_Corrente_2025">BAL!$L$81</definedName>
    <definedName name="Passivo_Corrente_2026">BAL!$M$81</definedName>
    <definedName name="Passivo_Corrente_P2023">BAL!$E$81</definedName>
    <definedName name="Passivo_Não_Corrente">BAL!$D$67:$M$67</definedName>
    <definedName name="Passivo_Não_Corrente_2022">BAL!$D$67</definedName>
    <definedName name="Passivo_Não_Corrente_2023">BAL!$F$67</definedName>
    <definedName name="Passivo_Não_Corrente_2024">BAL!$K$67</definedName>
    <definedName name="Passivo_Não_Corrente_2025">BAL!$L$67</definedName>
    <definedName name="Passivo_Não_Corrente_2026">BAL!$M$67</definedName>
    <definedName name="Passivo_Não_Corrente_P2023">BAL!$E$67</definedName>
    <definedName name="Passivo_P2023">BAL!$E$83</definedName>
    <definedName name="Patrimonio_2022">BAL!$D$43</definedName>
    <definedName name="Patrimonio_2023">BAL!$F$43</definedName>
    <definedName name="Patrimonio_2024">BAL!$K$43</definedName>
    <definedName name="Patrimonio_2025">BAL!$L$43</definedName>
    <definedName name="Patrimonio_2026">BAL!$M$43</definedName>
    <definedName name="Patrimonio_Liquido_2022">BAL!$D$55</definedName>
    <definedName name="Patrimonio_Liquido_2023">BAL!$F$55</definedName>
    <definedName name="Patrimonio_Liquido_2024">BAL!$K$55</definedName>
    <definedName name="Patrimonio_Liquido_2025">BAL!$L$55</definedName>
    <definedName name="Patrimonio_Liquido_2026">BAL!$M$55</definedName>
    <definedName name="Patrimonio_Liquido_P2023">BAL!$E$55</definedName>
    <definedName name="PMP_2022">Outros!$C$21</definedName>
    <definedName name="PMP_2023">Outros!$E$21</definedName>
    <definedName name="PMP_2024">Outros!$F$21</definedName>
    <definedName name="PMP_2025">Outros!$G$21</definedName>
    <definedName name="PMP_2026">Outros!$H$21</definedName>
    <definedName name="PS_2022">DR!$D$10</definedName>
    <definedName name="PS_2023">DR!$F$10</definedName>
    <definedName name="PS_2024">DR!$K$10</definedName>
    <definedName name="PS_2025">DR!$L$10</definedName>
    <definedName name="PS_2026">DR!$M$10</definedName>
    <definedName name="PS_P2023">DR!$E$10</definedName>
    <definedName name="RAI_2022">DR!$D$39</definedName>
    <definedName name="RAI_2023">DR!$F$39</definedName>
    <definedName name="RAI_2024">DR!$K$39</definedName>
    <definedName name="RAI_2025">DR!$L$39</definedName>
    <definedName name="RAI_2026">DR!$M$39</definedName>
    <definedName name="RAI_P2023">DR!$E$39</definedName>
    <definedName name="RL_2022">DR!$D$43</definedName>
    <definedName name="RL_2023">DR!$F$43</definedName>
    <definedName name="RL_2024">DR!$K$43</definedName>
    <definedName name="RL_2024_1T">DR!$G$43</definedName>
    <definedName name="RL_2024_2T">DR!$H$43</definedName>
    <definedName name="RL_2024_3T">DR!$I$43</definedName>
    <definedName name="RL_2024_4T">DR!$J$43</definedName>
    <definedName name="RL_2025">DR!$L$43</definedName>
    <definedName name="RL_2026">DR!$M$43</definedName>
    <definedName name="RL_Bal_2022">BAL!$D$52</definedName>
    <definedName name="RL_Bal_2023">BAL!$F$52</definedName>
    <definedName name="RL_Bal_2024">BAL!$K$52</definedName>
    <definedName name="RL_Bal_2024_1T">BAL!$G$52</definedName>
    <definedName name="RL_Bal_2024_2T">BAL!$H$52</definedName>
    <definedName name="RL_Bal_2024_3T">BAL!$I$52</definedName>
    <definedName name="RL_Bal_2024_4T">BAL!$J$52</definedName>
    <definedName name="RL_Bal_2025">BAL!$L$52</definedName>
    <definedName name="RL_Bal_2026">BAL!$M$52</definedName>
    <definedName name="RL_Bal_P2023">BAL!$E$52</definedName>
    <definedName name="RL_P2023">DR!$E$43</definedName>
    <definedName name="RO_2022">DR!$D$33</definedName>
    <definedName name="RO_2023">DR!$F$33</definedName>
    <definedName name="RO_2024">DR!$K$33</definedName>
    <definedName name="RO_2025">DR!$L$33</definedName>
    <definedName name="RO_2026">DR!$M$33</definedName>
    <definedName name="RO_P2023">DR!$E$33</definedName>
    <definedName name="Total_do_Património_Líquido">BAL!$D$55:$M$55</definedName>
    <definedName name="Vendas_2022">DR!$D$9</definedName>
    <definedName name="Vendas_2023">DR!$F$9</definedName>
    <definedName name="Vendas_2024">DR!$K$9</definedName>
    <definedName name="Vendas_2025">DR!$L$9</definedName>
    <definedName name="Vendas_2026">DR!$M$9</definedName>
    <definedName name="Vendas_P2023">DR!$E$9</definedName>
    <definedName name="VN_2022">'Eficiência operacional'!$C$27</definedName>
    <definedName name="VN_2023">'Eficiência operacional'!$E$27</definedName>
    <definedName name="VN_2024">'Eficiência operacional'!$F$27</definedName>
    <definedName name="VN_2025">'Eficiência operacional'!$G$27</definedName>
    <definedName name="VN_2026">'Eficiência operacional'!$H$27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9" l="1"/>
  <c r="F29" i="19"/>
  <c r="E29" i="19"/>
  <c r="D29" i="19"/>
  <c r="C29" i="19"/>
  <c r="G15" i="19"/>
  <c r="F15" i="19"/>
  <c r="E15" i="19"/>
  <c r="D15" i="19"/>
  <c r="C15" i="19"/>
  <c r="G14" i="19"/>
  <c r="F14" i="19"/>
  <c r="E14" i="19"/>
  <c r="D14" i="19"/>
  <c r="C14" i="19"/>
  <c r="G13" i="19"/>
  <c r="F13" i="19"/>
  <c r="E13" i="19"/>
  <c r="D13" i="19"/>
  <c r="C13" i="19"/>
  <c r="G12" i="19"/>
  <c r="F12" i="19"/>
  <c r="E12" i="19"/>
  <c r="D12" i="19"/>
  <c r="C12" i="19"/>
  <c r="G11" i="19"/>
  <c r="F11" i="19"/>
  <c r="E11" i="19"/>
  <c r="D11" i="19"/>
  <c r="C11" i="19"/>
  <c r="G9" i="19"/>
  <c r="F9" i="19"/>
  <c r="E9" i="19"/>
  <c r="D9" i="19"/>
  <c r="C9" i="19"/>
  <c r="F8" i="19"/>
  <c r="G8" i="19"/>
  <c r="E8" i="19"/>
  <c r="C8" i="19"/>
  <c r="G7" i="19"/>
  <c r="F7" i="19"/>
  <c r="E7" i="19"/>
  <c r="C7" i="19"/>
  <c r="D54" i="6"/>
  <c r="D39" i="5"/>
  <c r="C9" i="4"/>
  <c r="L17" i="12" l="1"/>
  <c r="L14" i="12"/>
  <c r="D14" i="14"/>
  <c r="D13" i="14"/>
  <c r="M17" i="12" l="1"/>
  <c r="D15" i="14" l="1"/>
  <c r="D12" i="14"/>
  <c r="C53" i="11"/>
  <c r="D5" i="5"/>
  <c r="D5" i="1"/>
  <c r="F2" i="11"/>
  <c r="C11" i="9" l="1"/>
  <c r="C44" i="9" s="1"/>
  <c r="B21" i="9"/>
  <c r="I24" i="11" l="1"/>
  <c r="J24" i="11" s="1"/>
  <c r="I23" i="11"/>
  <c r="J23" i="11" s="1"/>
  <c r="D38" i="20"/>
  <c r="E38" i="20"/>
  <c r="L39" i="20"/>
  <c r="K39" i="20"/>
  <c r="J39" i="20"/>
  <c r="I39" i="20"/>
  <c r="H39" i="20"/>
  <c r="G39" i="20"/>
  <c r="F39" i="20"/>
  <c r="E39" i="20"/>
  <c r="D39" i="20"/>
  <c r="L38" i="20"/>
  <c r="K38" i="20"/>
  <c r="J38" i="20"/>
  <c r="I38" i="20"/>
  <c r="H38" i="20"/>
  <c r="G38" i="20"/>
  <c r="F38" i="20"/>
  <c r="H41" i="11"/>
  <c r="H40" i="11"/>
  <c r="H39" i="11"/>
  <c r="G41" i="11"/>
  <c r="G40" i="11"/>
  <c r="G39" i="11"/>
  <c r="F41" i="11"/>
  <c r="F40" i="11"/>
  <c r="F39" i="11"/>
  <c r="E41" i="11"/>
  <c r="E40" i="11"/>
  <c r="E39" i="11"/>
  <c r="D41" i="11"/>
  <c r="D40" i="11"/>
  <c r="D39" i="11"/>
  <c r="C41" i="11"/>
  <c r="C40" i="11"/>
  <c r="D20" i="11"/>
  <c r="D19" i="11"/>
  <c r="D7" i="11"/>
  <c r="D6" i="11"/>
  <c r="D5" i="11"/>
  <c r="D41" i="20" l="1"/>
  <c r="J56" i="6" l="1"/>
  <c r="I56" i="6"/>
  <c r="H56" i="6"/>
  <c r="G56" i="6"/>
  <c r="C33" i="9" l="1"/>
  <c r="H60" i="14"/>
  <c r="G60" i="14"/>
  <c r="F60" i="14"/>
  <c r="E60" i="14"/>
  <c r="D60" i="14"/>
  <c r="C60" i="14"/>
  <c r="H33" i="9"/>
  <c r="G33" i="9"/>
  <c r="F33" i="9"/>
  <c r="E33" i="9"/>
  <c r="I33" i="9" s="1"/>
  <c r="J33" i="9" s="1"/>
  <c r="D33" i="9"/>
  <c r="J34" i="9"/>
  <c r="I34" i="9"/>
  <c r="E40" i="19"/>
  <c r="E43" i="19"/>
  <c r="E42" i="19"/>
  <c r="E41" i="19"/>
  <c r="I58" i="14"/>
  <c r="J58" i="14" s="1"/>
  <c r="I54" i="14"/>
  <c r="J54" i="14" s="1"/>
  <c r="J51" i="14"/>
  <c r="I51" i="14"/>
  <c r="H51" i="14"/>
  <c r="H52" i="14" s="1"/>
  <c r="G51" i="14"/>
  <c r="G52" i="14" s="1"/>
  <c r="F51" i="14"/>
  <c r="F52" i="14" s="1"/>
  <c r="E51" i="14"/>
  <c r="E52" i="14" s="1"/>
  <c r="D51" i="14"/>
  <c r="D52" i="14" s="1"/>
  <c r="C51" i="14"/>
  <c r="C52" i="14" s="1"/>
  <c r="H53" i="11"/>
  <c r="G53" i="11"/>
  <c r="F53" i="11"/>
  <c r="E53" i="11"/>
  <c r="D53" i="11"/>
  <c r="C39" i="11"/>
  <c r="I36" i="11"/>
  <c r="I2" i="11"/>
  <c r="H36" i="11"/>
  <c r="H37" i="11" s="1"/>
  <c r="G36" i="11"/>
  <c r="G37" i="11" s="1"/>
  <c r="F36" i="11"/>
  <c r="F37" i="11" s="1"/>
  <c r="E36" i="11"/>
  <c r="E37" i="11" s="1"/>
  <c r="D36" i="11"/>
  <c r="D37" i="11" s="1"/>
  <c r="C36" i="11"/>
  <c r="C37" i="11" s="1"/>
  <c r="H2" i="11"/>
  <c r="G2" i="11"/>
  <c r="C2" i="11"/>
  <c r="I51" i="11"/>
  <c r="J51" i="11" s="1"/>
  <c r="I50" i="11"/>
  <c r="J50" i="11" s="1"/>
  <c r="I46" i="11"/>
  <c r="J46" i="11" s="1"/>
  <c r="I45" i="11"/>
  <c r="J45" i="11" s="1"/>
  <c r="I44" i="11"/>
  <c r="J44" i="11" s="1"/>
  <c r="H43" i="11"/>
  <c r="G43" i="11"/>
  <c r="F43" i="11"/>
  <c r="E43" i="11"/>
  <c r="D43" i="11"/>
  <c r="C43" i="11"/>
  <c r="E32" i="9"/>
  <c r="D31" i="9"/>
  <c r="F11" i="9"/>
  <c r="F44" i="9" s="1"/>
  <c r="E11" i="9"/>
  <c r="E44" i="9" s="1"/>
  <c r="D11" i="9"/>
  <c r="D44" i="9" s="1"/>
  <c r="N9" i="12"/>
  <c r="M9" i="12"/>
  <c r="L9" i="12"/>
  <c r="L21" i="12"/>
  <c r="S21" i="12" s="1"/>
  <c r="N8" i="12"/>
  <c r="M8" i="12"/>
  <c r="L8" i="12"/>
  <c r="N21" i="12"/>
  <c r="M21" i="12"/>
  <c r="I43" i="11" l="1"/>
  <c r="J43" i="11" s="1"/>
  <c r="R21" i="12"/>
  <c r="N28" i="12"/>
  <c r="M28" i="12"/>
  <c r="G11" i="9"/>
  <c r="G44" i="9" s="1"/>
  <c r="H11" i="9"/>
  <c r="H44" i="9" s="1"/>
  <c r="I60" i="14"/>
  <c r="J60" i="14" s="1"/>
  <c r="L28" i="12"/>
  <c r="I40" i="11"/>
  <c r="J40" i="11" s="1"/>
  <c r="I41" i="11"/>
  <c r="J41" i="11" s="1"/>
  <c r="I39" i="11"/>
  <c r="J39" i="11" s="1"/>
  <c r="C38" i="11"/>
  <c r="C48" i="11" s="1"/>
  <c r="C55" i="11" s="1"/>
  <c r="G38" i="11"/>
  <c r="G48" i="11" s="1"/>
  <c r="G55" i="11" s="1"/>
  <c r="F38" i="11"/>
  <c r="F48" i="11" s="1"/>
  <c r="F55" i="11" s="1"/>
  <c r="H38" i="11"/>
  <c r="H48" i="11" s="1"/>
  <c r="H55" i="11" s="1"/>
  <c r="D38" i="11"/>
  <c r="D48" i="11" s="1"/>
  <c r="D55" i="11" s="1"/>
  <c r="I53" i="11"/>
  <c r="J53" i="11" s="1"/>
  <c r="E38" i="11"/>
  <c r="P9" i="12"/>
  <c r="P8" i="12"/>
  <c r="N18" i="12"/>
  <c r="M18" i="12"/>
  <c r="L18" i="12"/>
  <c r="S18" i="12" l="1"/>
  <c r="R18" i="12"/>
  <c r="R28" i="12"/>
  <c r="S28" i="12"/>
  <c r="P28" i="12"/>
  <c r="E35" i="19"/>
  <c r="G35" i="19"/>
  <c r="F35" i="19"/>
  <c r="I38" i="11"/>
  <c r="J38" i="11" s="1"/>
  <c r="E48" i="11"/>
  <c r="E55" i="11" s="1"/>
  <c r="P18" i="12"/>
  <c r="U18" i="12" s="1"/>
  <c r="V28" i="12" l="1"/>
  <c r="U28" i="12"/>
  <c r="I48" i="11"/>
  <c r="J48" i="11" s="1"/>
  <c r="V18" i="12"/>
  <c r="I55" i="11" l="1"/>
  <c r="J55" i="11" s="1"/>
  <c r="D35" i="19"/>
  <c r="D6" i="9"/>
  <c r="D22" i="11"/>
  <c r="D9" i="11"/>
  <c r="D2" i="11"/>
  <c r="D3" i="11" s="1"/>
  <c r="E2" i="11"/>
  <c r="I47" i="14"/>
  <c r="J47" i="14" s="1"/>
  <c r="I48" i="14"/>
  <c r="J48" i="14" s="1"/>
  <c r="I41" i="14"/>
  <c r="J41" i="14"/>
  <c r="I26" i="14"/>
  <c r="I45" i="14"/>
  <c r="J45" i="14" s="1"/>
  <c r="I44" i="14"/>
  <c r="J44" i="14" s="1"/>
  <c r="H41" i="14"/>
  <c r="H42" i="14" s="1"/>
  <c r="G41" i="14"/>
  <c r="G42" i="14" s="1"/>
  <c r="F41" i="14"/>
  <c r="F42" i="14" s="1"/>
  <c r="F26" i="14"/>
  <c r="E41" i="14"/>
  <c r="E42" i="14" s="1"/>
  <c r="D41" i="14"/>
  <c r="D42" i="14" s="1"/>
  <c r="C41" i="14"/>
  <c r="C42" i="14" s="1"/>
  <c r="E26" i="14"/>
  <c r="C26" i="14"/>
  <c r="D38" i="14"/>
  <c r="C7" i="14"/>
  <c r="C6" i="14"/>
  <c r="N7" i="12"/>
  <c r="M7" i="12"/>
  <c r="L7" i="12"/>
  <c r="D5" i="6"/>
  <c r="E6" i="6" s="1"/>
  <c r="G32" i="19"/>
  <c r="F32" i="19"/>
  <c r="E32" i="19"/>
  <c r="D32" i="19"/>
  <c r="G17" i="19"/>
  <c r="F17" i="19"/>
  <c r="E17" i="19"/>
  <c r="D17" i="19"/>
  <c r="C17" i="19"/>
  <c r="G5" i="19"/>
  <c r="F5" i="19"/>
  <c r="E5" i="19"/>
  <c r="D5" i="19"/>
  <c r="C5" i="19"/>
  <c r="I13" i="9"/>
  <c r="I14" i="9"/>
  <c r="I21" i="9"/>
  <c r="J21" i="9" s="1"/>
  <c r="I22" i="9"/>
  <c r="J22" i="9" s="1"/>
  <c r="I23" i="9"/>
  <c r="J23" i="9" s="1"/>
  <c r="I25" i="9"/>
  <c r="J25" i="9" s="1"/>
  <c r="I26" i="9"/>
  <c r="D32" i="9"/>
  <c r="D30" i="9"/>
  <c r="D36" i="9" s="1"/>
  <c r="D41" i="9" s="1"/>
  <c r="D26" i="14"/>
  <c r="D27" i="14" s="1"/>
  <c r="D18" i="14"/>
  <c r="D19" i="14" s="1"/>
  <c r="D3" i="14"/>
  <c r="D4" i="14" s="1"/>
  <c r="E3" i="14"/>
  <c r="D3" i="9"/>
  <c r="D4" i="9" s="1"/>
  <c r="E3" i="9"/>
  <c r="D5" i="20"/>
  <c r="D6" i="20" s="1"/>
  <c r="E5" i="20"/>
  <c r="I6" i="20" s="1"/>
  <c r="E50" i="6"/>
  <c r="E52" i="6" s="1"/>
  <c r="E54" i="6" s="1"/>
  <c r="E14" i="6"/>
  <c r="E16" i="6" s="1"/>
  <c r="E35" i="6"/>
  <c r="E5" i="6"/>
  <c r="F5" i="6"/>
  <c r="E28" i="1"/>
  <c r="E33" i="1" s="1"/>
  <c r="E23" i="5"/>
  <c r="E39" i="5"/>
  <c r="E55" i="5"/>
  <c r="E67" i="5"/>
  <c r="E81" i="5"/>
  <c r="E5" i="5"/>
  <c r="F5" i="5"/>
  <c r="E5" i="1"/>
  <c r="F5" i="1"/>
  <c r="I15" i="9"/>
  <c r="J15" i="9" s="1"/>
  <c r="D55" i="5"/>
  <c r="L41" i="20"/>
  <c r="K41" i="20"/>
  <c r="J41" i="20"/>
  <c r="I41" i="20"/>
  <c r="H41" i="20"/>
  <c r="F41" i="20"/>
  <c r="E41" i="20"/>
  <c r="L5" i="20"/>
  <c r="K5" i="20"/>
  <c r="L6" i="20" s="1"/>
  <c r="J5" i="20"/>
  <c r="K6" i="20" s="1"/>
  <c r="I5" i="20"/>
  <c r="H5" i="20"/>
  <c r="G5" i="20"/>
  <c r="F5" i="20"/>
  <c r="E83" i="5" l="1"/>
  <c r="C13" i="14"/>
  <c r="C12" i="14"/>
  <c r="K53" i="6"/>
  <c r="E56" i="6"/>
  <c r="D18" i="11"/>
  <c r="D27" i="11" s="1"/>
  <c r="D4" i="11"/>
  <c r="D16" i="11" s="1"/>
  <c r="P7" i="12"/>
  <c r="N12" i="12"/>
  <c r="L12" i="12"/>
  <c r="R12" i="12" s="1"/>
  <c r="M12" i="12"/>
  <c r="G41" i="20"/>
  <c r="A41" i="20" s="1"/>
  <c r="C56" i="19" s="1"/>
  <c r="E39" i="1"/>
  <c r="E43" i="1" s="1"/>
  <c r="E45" i="1" s="1"/>
  <c r="E40" i="5"/>
  <c r="E85" i="5"/>
  <c r="E87" i="5" s="1"/>
  <c r="E6" i="20"/>
  <c r="G6" i="20"/>
  <c r="H6" i="20"/>
  <c r="J6" i="20"/>
  <c r="F6" i="20"/>
  <c r="J26" i="9"/>
  <c r="D29" i="11" l="1"/>
  <c r="D40" i="9"/>
  <c r="D39" i="9"/>
  <c r="P12" i="12"/>
  <c r="S12" i="12"/>
  <c r="I9" i="14"/>
  <c r="C22" i="11"/>
  <c r="H22" i="11"/>
  <c r="G22" i="11"/>
  <c r="F22" i="11"/>
  <c r="E22" i="11"/>
  <c r="U12" i="12" l="1"/>
  <c r="V12" i="12"/>
  <c r="I22" i="11"/>
  <c r="J22" i="11" s="1"/>
  <c r="J5" i="6"/>
  <c r="I5" i="6"/>
  <c r="H5" i="6"/>
  <c r="G5" i="6"/>
  <c r="M55" i="5"/>
  <c r="L55" i="5"/>
  <c r="K55" i="5"/>
  <c r="J55" i="5"/>
  <c r="I55" i="5"/>
  <c r="H55" i="5"/>
  <c r="G55" i="5"/>
  <c r="F55" i="5"/>
  <c r="J23" i="5"/>
  <c r="I23" i="5"/>
  <c r="H23" i="5"/>
  <c r="G23" i="5"/>
  <c r="J39" i="5"/>
  <c r="I39" i="5"/>
  <c r="H39" i="5"/>
  <c r="G39" i="5"/>
  <c r="J67" i="5"/>
  <c r="I67" i="5"/>
  <c r="H67" i="5"/>
  <c r="G67" i="5"/>
  <c r="J81" i="5"/>
  <c r="I81" i="5"/>
  <c r="H81" i="5"/>
  <c r="G81" i="5"/>
  <c r="J28" i="1"/>
  <c r="J33" i="1" s="1"/>
  <c r="I28" i="1"/>
  <c r="I33" i="1" s="1"/>
  <c r="H28" i="1"/>
  <c r="H33" i="1" s="1"/>
  <c r="G28" i="1"/>
  <c r="G33" i="1" s="1"/>
  <c r="J5" i="1"/>
  <c r="I5" i="1"/>
  <c r="H5" i="1"/>
  <c r="G5" i="1"/>
  <c r="J5" i="5"/>
  <c r="I5" i="5"/>
  <c r="H5" i="5"/>
  <c r="G5" i="5"/>
  <c r="K5" i="1"/>
  <c r="F7" i="14"/>
  <c r="C9" i="11"/>
  <c r="E9" i="11"/>
  <c r="F7" i="11"/>
  <c r="E21" i="19" s="1"/>
  <c r="E7" i="11"/>
  <c r="D21" i="19" s="1"/>
  <c r="J14" i="6"/>
  <c r="J16" i="6" s="1"/>
  <c r="I14" i="6"/>
  <c r="I16" i="6" s="1"/>
  <c r="H14" i="6"/>
  <c r="H16" i="6" s="1"/>
  <c r="G14" i="6"/>
  <c r="G16" i="6" s="1"/>
  <c r="J35" i="6"/>
  <c r="I35" i="6"/>
  <c r="H35" i="6"/>
  <c r="G35" i="6"/>
  <c r="J50" i="6"/>
  <c r="I50" i="6"/>
  <c r="H50" i="6"/>
  <c r="G50" i="6"/>
  <c r="G52" i="6" s="1"/>
  <c r="F6" i="9"/>
  <c r="C6" i="9"/>
  <c r="G38" i="14"/>
  <c r="H38" i="14"/>
  <c r="F38" i="14"/>
  <c r="E38" i="14"/>
  <c r="C38" i="14"/>
  <c r="I36" i="14"/>
  <c r="J36" i="14" s="1"/>
  <c r="I35" i="14"/>
  <c r="J35" i="14" s="1"/>
  <c r="I34" i="14"/>
  <c r="J34" i="14" s="1"/>
  <c r="I33" i="14"/>
  <c r="J33" i="14" s="1"/>
  <c r="I32" i="14"/>
  <c r="J32" i="14" s="1"/>
  <c r="I31" i="14"/>
  <c r="J31" i="14" s="1"/>
  <c r="I30" i="14"/>
  <c r="J30" i="14" s="1"/>
  <c r="I29" i="14"/>
  <c r="J29" i="14" s="1"/>
  <c r="J26" i="14"/>
  <c r="H26" i="14"/>
  <c r="H27" i="14" s="1"/>
  <c r="G26" i="14"/>
  <c r="G27" i="14" s="1"/>
  <c r="F27" i="14"/>
  <c r="E27" i="14"/>
  <c r="C27" i="14"/>
  <c r="H32" i="9"/>
  <c r="G32" i="9"/>
  <c r="F32" i="9"/>
  <c r="I32" i="9" s="1"/>
  <c r="J32" i="9" s="1"/>
  <c r="C32" i="9"/>
  <c r="H31" i="9"/>
  <c r="G31" i="9"/>
  <c r="F31" i="9"/>
  <c r="E31" i="9"/>
  <c r="C31" i="9"/>
  <c r="H30" i="9"/>
  <c r="G30" i="9"/>
  <c r="F30" i="9"/>
  <c r="E30" i="9"/>
  <c r="C30" i="9"/>
  <c r="C36" i="9" s="1"/>
  <c r="C41" i="9" s="1"/>
  <c r="N6" i="16"/>
  <c r="T6" i="16" s="1"/>
  <c r="Z6" i="16" s="1"/>
  <c r="G14" i="16"/>
  <c r="F14" i="16"/>
  <c r="E14" i="16"/>
  <c r="U2" i="16"/>
  <c r="Z2" i="16"/>
  <c r="T2" i="16"/>
  <c r="N2" i="16"/>
  <c r="H2" i="16"/>
  <c r="O2" i="16"/>
  <c r="Y14" i="16"/>
  <c r="X14" i="16"/>
  <c r="W14" i="16"/>
  <c r="V14" i="16"/>
  <c r="U14" i="16"/>
  <c r="S14" i="16"/>
  <c r="R14" i="16"/>
  <c r="Q14" i="16"/>
  <c r="P14" i="16"/>
  <c r="O14" i="16"/>
  <c r="E6" i="14"/>
  <c r="F6" i="14"/>
  <c r="J3" i="12"/>
  <c r="P11" i="12" s="1"/>
  <c r="I3" i="12"/>
  <c r="I4" i="12" s="1"/>
  <c r="H3" i="12"/>
  <c r="H4" i="12" s="1"/>
  <c r="G3" i="12"/>
  <c r="G4" i="12" s="1"/>
  <c r="B39" i="14"/>
  <c r="F13" i="14" l="1"/>
  <c r="F12" i="14"/>
  <c r="F14" i="14"/>
  <c r="C39" i="9"/>
  <c r="C40" i="9"/>
  <c r="P21" i="12"/>
  <c r="E22" i="19"/>
  <c r="E36" i="9"/>
  <c r="E41" i="9" s="1"/>
  <c r="J4" i="12"/>
  <c r="H39" i="1"/>
  <c r="H43" i="1" s="1"/>
  <c r="H45" i="1" s="1"/>
  <c r="G39" i="1"/>
  <c r="G43" i="1" s="1"/>
  <c r="G45" i="1" s="1"/>
  <c r="I39" i="1"/>
  <c r="I43" i="1" s="1"/>
  <c r="I45" i="1" s="1"/>
  <c r="J39" i="1"/>
  <c r="J43" i="1" s="1"/>
  <c r="J45" i="1" s="1"/>
  <c r="H52" i="6"/>
  <c r="J52" i="6"/>
  <c r="I52" i="6"/>
  <c r="J83" i="5"/>
  <c r="J85" i="5" s="1"/>
  <c r="G83" i="5"/>
  <c r="G85" i="5" s="1"/>
  <c r="G40" i="5"/>
  <c r="H40" i="5"/>
  <c r="I83" i="5"/>
  <c r="I85" i="5" s="1"/>
  <c r="I40" i="5"/>
  <c r="J40" i="5"/>
  <c r="I38" i="14"/>
  <c r="J38" i="14" s="1"/>
  <c r="H83" i="5"/>
  <c r="H85" i="5" s="1"/>
  <c r="H36" i="9"/>
  <c r="H41" i="9" s="1"/>
  <c r="F36" i="9"/>
  <c r="F41" i="9" s="1"/>
  <c r="G36" i="9"/>
  <c r="G41" i="9" s="1"/>
  <c r="C2" i="16"/>
  <c r="D2" i="16"/>
  <c r="N12" i="16"/>
  <c r="N11" i="16"/>
  <c r="N10" i="16"/>
  <c r="N9" i="16"/>
  <c r="N8" i="16"/>
  <c r="T8" i="16" s="1"/>
  <c r="Z8" i="16" s="1"/>
  <c r="N7" i="16"/>
  <c r="D14" i="16"/>
  <c r="H14" i="16"/>
  <c r="I14" i="16"/>
  <c r="J14" i="16"/>
  <c r="K14" i="16"/>
  <c r="L14" i="16"/>
  <c r="M14" i="16"/>
  <c r="C14" i="16"/>
  <c r="G87" i="5" l="1"/>
  <c r="I87" i="5"/>
  <c r="J87" i="5"/>
  <c r="H87" i="5"/>
  <c r="N29" i="12"/>
  <c r="V21" i="12"/>
  <c r="U21" i="12"/>
  <c r="L29" i="12"/>
  <c r="M29" i="12"/>
  <c r="G39" i="9"/>
  <c r="F39" i="9"/>
  <c r="H39" i="9"/>
  <c r="T10" i="16"/>
  <c r="Z10" i="16" s="1"/>
  <c r="T9" i="16"/>
  <c r="Z9" i="16" s="1"/>
  <c r="T11" i="16"/>
  <c r="T12" i="16"/>
  <c r="Z12" i="16" s="1"/>
  <c r="T7" i="16"/>
  <c r="Z7" i="16" s="1"/>
  <c r="N14" i="16"/>
  <c r="M28" i="1"/>
  <c r="L28" i="1"/>
  <c r="K28" i="1"/>
  <c r="F28" i="1"/>
  <c r="D28" i="1"/>
  <c r="C25" i="19" s="1"/>
  <c r="C26" i="19" s="1"/>
  <c r="N3" i="12"/>
  <c r="M3" i="12"/>
  <c r="L3" i="12"/>
  <c r="H18" i="14"/>
  <c r="H19" i="14" s="1"/>
  <c r="I23" i="14"/>
  <c r="J23" i="14" s="1"/>
  <c r="I18" i="14"/>
  <c r="I3" i="14"/>
  <c r="G18" i="14"/>
  <c r="G19" i="14" s="1"/>
  <c r="G3" i="14"/>
  <c r="F18" i="14"/>
  <c r="F19" i="14" s="1"/>
  <c r="F3" i="14"/>
  <c r="E18" i="14"/>
  <c r="E19" i="14" s="1"/>
  <c r="C18" i="14"/>
  <c r="C19" i="14" s="1"/>
  <c r="C3" i="14"/>
  <c r="C4" i="14" s="1"/>
  <c r="I21" i="14"/>
  <c r="J21" i="14" s="1"/>
  <c r="H7" i="14"/>
  <c r="G7" i="14"/>
  <c r="E7" i="14"/>
  <c r="H6" i="14"/>
  <c r="G6" i="14"/>
  <c r="J9" i="14"/>
  <c r="I8" i="14"/>
  <c r="J8" i="14" s="1"/>
  <c r="I10" i="14"/>
  <c r="J10" i="14" s="1"/>
  <c r="E15" i="14" l="1"/>
  <c r="F15" i="14"/>
  <c r="E13" i="14"/>
  <c r="E12" i="14"/>
  <c r="E14" i="14"/>
  <c r="H13" i="14"/>
  <c r="H15" i="14"/>
  <c r="H12" i="14"/>
  <c r="H14" i="14"/>
  <c r="G13" i="14"/>
  <c r="G15" i="14"/>
  <c r="G12" i="14"/>
  <c r="G14" i="14"/>
  <c r="R29" i="12"/>
  <c r="S29" i="12"/>
  <c r="I13" i="14"/>
  <c r="J13" i="14" s="1"/>
  <c r="P29" i="12"/>
  <c r="G25" i="19"/>
  <c r="F25" i="19"/>
  <c r="E25" i="19"/>
  <c r="D25" i="19"/>
  <c r="D26" i="19" s="1"/>
  <c r="D33" i="1"/>
  <c r="F33" i="1"/>
  <c r="T14" i="16"/>
  <c r="Z11" i="16"/>
  <c r="Z14" i="16" s="1"/>
  <c r="K33" i="1"/>
  <c r="L33" i="1"/>
  <c r="M33" i="1"/>
  <c r="I6" i="14"/>
  <c r="J6" i="14" s="1"/>
  <c r="I15" i="14" l="1"/>
  <c r="D39" i="1"/>
  <c r="D43" i="1" s="1"/>
  <c r="H14" i="7"/>
  <c r="N17" i="12"/>
  <c r="E14" i="7"/>
  <c r="F14" i="7"/>
  <c r="D14" i="7"/>
  <c r="I12" i="14"/>
  <c r="J12" i="14" s="1"/>
  <c r="G14" i="7"/>
  <c r="F26" i="19"/>
  <c r="E26" i="19"/>
  <c r="G26" i="19"/>
  <c r="L39" i="1"/>
  <c r="F27" i="19"/>
  <c r="D27" i="19"/>
  <c r="F39" i="1"/>
  <c r="F43" i="1" s="1"/>
  <c r="C27" i="19"/>
  <c r="C28" i="19" s="1"/>
  <c r="K39" i="1"/>
  <c r="E27" i="19"/>
  <c r="G27" i="19"/>
  <c r="M39" i="1"/>
  <c r="I7" i="14"/>
  <c r="J7" i="14" s="1"/>
  <c r="H3" i="14"/>
  <c r="H4" i="14" s="1"/>
  <c r="G4" i="14"/>
  <c r="F4" i="14"/>
  <c r="E4" i="14"/>
  <c r="C7" i="11"/>
  <c r="C21" i="19" s="1"/>
  <c r="H20" i="11"/>
  <c r="G20" i="11"/>
  <c r="F20" i="11"/>
  <c r="E20" i="11"/>
  <c r="C20" i="11"/>
  <c r="H19" i="11"/>
  <c r="G19" i="11"/>
  <c r="F19" i="11"/>
  <c r="E19" i="11"/>
  <c r="C19" i="11"/>
  <c r="H7" i="11"/>
  <c r="G21" i="19" s="1"/>
  <c r="G7" i="11"/>
  <c r="F21" i="19" s="1"/>
  <c r="F22" i="19" s="1"/>
  <c r="H6" i="11"/>
  <c r="G23" i="19" s="1"/>
  <c r="G6" i="11"/>
  <c r="F23" i="19" s="1"/>
  <c r="F6" i="11"/>
  <c r="E23" i="19" s="1"/>
  <c r="E6" i="11"/>
  <c r="D23" i="19" s="1"/>
  <c r="C6" i="11"/>
  <c r="C23" i="19" s="1"/>
  <c r="C24" i="19" s="1"/>
  <c r="H5" i="11"/>
  <c r="G5" i="11"/>
  <c r="F5" i="11"/>
  <c r="E5" i="11"/>
  <c r="C5" i="11"/>
  <c r="D67" i="5"/>
  <c r="D81" i="5"/>
  <c r="M67" i="5"/>
  <c r="H6" i="9"/>
  <c r="G6" i="9"/>
  <c r="E6" i="9"/>
  <c r="I31" i="9"/>
  <c r="I18" i="9"/>
  <c r="I17" i="9"/>
  <c r="I16" i="9"/>
  <c r="I12" i="9"/>
  <c r="I9" i="9"/>
  <c r="I8" i="9"/>
  <c r="J8" i="9" s="1"/>
  <c r="I7" i="9"/>
  <c r="E39" i="9"/>
  <c r="I39" i="9" s="1"/>
  <c r="J39" i="9" s="1"/>
  <c r="I10" i="11"/>
  <c r="H9" i="11"/>
  <c r="G9" i="11"/>
  <c r="F9" i="11"/>
  <c r="I14" i="11"/>
  <c r="I13" i="11"/>
  <c r="I12" i="11"/>
  <c r="I11" i="11"/>
  <c r="I25" i="11"/>
  <c r="I21" i="11"/>
  <c r="E6" i="1"/>
  <c r="L6" i="1"/>
  <c r="L5" i="1"/>
  <c r="M6" i="1" s="1"/>
  <c r="M5" i="1"/>
  <c r="I5" i="11" l="1"/>
  <c r="D8" i="7"/>
  <c r="D45" i="1"/>
  <c r="S17" i="12"/>
  <c r="R17" i="12"/>
  <c r="E9" i="7"/>
  <c r="E8" i="7"/>
  <c r="P17" i="12"/>
  <c r="U17" i="12" s="1"/>
  <c r="L15" i="12"/>
  <c r="M15" i="12"/>
  <c r="F24" i="19"/>
  <c r="G22" i="19"/>
  <c r="N15" i="12"/>
  <c r="F28" i="19"/>
  <c r="E28" i="19"/>
  <c r="D28" i="19"/>
  <c r="D24" i="19"/>
  <c r="D22" i="19"/>
  <c r="C22" i="19"/>
  <c r="G24" i="19"/>
  <c r="E24" i="19"/>
  <c r="G28" i="19"/>
  <c r="K6" i="1"/>
  <c r="H6" i="1"/>
  <c r="G6" i="1"/>
  <c r="I6" i="1"/>
  <c r="J6" i="1"/>
  <c r="C18" i="11"/>
  <c r="C19" i="19" s="1"/>
  <c r="C20" i="19" s="1"/>
  <c r="H4" i="11"/>
  <c r="F18" i="11"/>
  <c r="E19" i="19" s="1"/>
  <c r="H18" i="11"/>
  <c r="G19" i="19" s="1"/>
  <c r="E18" i="11"/>
  <c r="G18" i="11"/>
  <c r="F19" i="19" s="1"/>
  <c r="E4" i="11"/>
  <c r="C4" i="11"/>
  <c r="C16" i="11" s="1"/>
  <c r="F4" i="11"/>
  <c r="G4" i="11"/>
  <c r="F6" i="1"/>
  <c r="G40" i="9"/>
  <c r="E40" i="9"/>
  <c r="F40" i="9"/>
  <c r="D6" i="1"/>
  <c r="D83" i="5"/>
  <c r="I6" i="9"/>
  <c r="R15" i="12" l="1"/>
  <c r="S15" i="12"/>
  <c r="P15" i="12"/>
  <c r="V17" i="12"/>
  <c r="D19" i="19"/>
  <c r="E20" i="19" s="1"/>
  <c r="F20" i="19"/>
  <c r="G20" i="19"/>
  <c r="D5" i="7"/>
  <c r="C27" i="11"/>
  <c r="C29" i="11" s="1"/>
  <c r="H27" i="11"/>
  <c r="F27" i="11"/>
  <c r="H16" i="11"/>
  <c r="G5" i="7"/>
  <c r="E5" i="7"/>
  <c r="H5" i="7"/>
  <c r="F5" i="7"/>
  <c r="E27" i="11"/>
  <c r="G27" i="11"/>
  <c r="I18" i="11"/>
  <c r="J18" i="11" s="1"/>
  <c r="I4" i="11"/>
  <c r="J4" i="11" s="1"/>
  <c r="F16" i="11"/>
  <c r="E16" i="11"/>
  <c r="G16" i="11"/>
  <c r="D85" i="5"/>
  <c r="H40" i="9"/>
  <c r="I41" i="9"/>
  <c r="J41" i="9" s="1"/>
  <c r="M50" i="6"/>
  <c r="L50" i="6"/>
  <c r="K50" i="6"/>
  <c r="F50" i="6"/>
  <c r="D50" i="6"/>
  <c r="F35" i="6"/>
  <c r="K35" i="6"/>
  <c r="L35" i="6"/>
  <c r="M35" i="6"/>
  <c r="D35" i="6"/>
  <c r="F14" i="6"/>
  <c r="F16" i="6" s="1"/>
  <c r="K14" i="6"/>
  <c r="K16" i="6" s="1"/>
  <c r="L14" i="6"/>
  <c r="L16" i="6" s="1"/>
  <c r="M14" i="6"/>
  <c r="M16" i="6" s="1"/>
  <c r="D14" i="6"/>
  <c r="D16" i="6" s="1"/>
  <c r="U15" i="12" l="1"/>
  <c r="V15" i="12"/>
  <c r="M11" i="12"/>
  <c r="D20" i="19"/>
  <c r="L11" i="12"/>
  <c r="R11" i="12" s="1"/>
  <c r="N11" i="12"/>
  <c r="F52" i="6"/>
  <c r="M52" i="6"/>
  <c r="M54" i="6" s="1"/>
  <c r="M56" i="6" s="1"/>
  <c r="K52" i="6"/>
  <c r="L52" i="6"/>
  <c r="L54" i="6" s="1"/>
  <c r="D52" i="6"/>
  <c r="J31" i="9"/>
  <c r="J18" i="9"/>
  <c r="J17" i="9"/>
  <c r="J16" i="9"/>
  <c r="J14" i="9"/>
  <c r="J13" i="9"/>
  <c r="J12" i="9"/>
  <c r="J9" i="9"/>
  <c r="J7" i="9"/>
  <c r="I3" i="9"/>
  <c r="H3" i="9"/>
  <c r="H4" i="9" s="1"/>
  <c r="G3" i="9"/>
  <c r="G4" i="9" s="1"/>
  <c r="F3" i="9"/>
  <c r="F4" i="9" s="1"/>
  <c r="E4" i="9"/>
  <c r="C3" i="9"/>
  <c r="C4" i="9" s="1"/>
  <c r="F53" i="6" l="1"/>
  <c r="E53" i="6"/>
  <c r="F54" i="6"/>
  <c r="F56" i="6" s="1"/>
  <c r="M53" i="6"/>
  <c r="L56" i="6"/>
  <c r="K57" i="6"/>
  <c r="A57" i="6" s="1"/>
  <c r="K54" i="6"/>
  <c r="D56" i="6"/>
  <c r="L27" i="12"/>
  <c r="L22" i="12"/>
  <c r="R22" i="12" s="1"/>
  <c r="M27" i="12"/>
  <c r="M22" i="12"/>
  <c r="N27" i="12"/>
  <c r="N22" i="12"/>
  <c r="P22" i="12"/>
  <c r="V22" i="12" s="1"/>
  <c r="V11" i="12"/>
  <c r="U11" i="12"/>
  <c r="S11" i="12"/>
  <c r="S27" i="12" l="1"/>
  <c r="R27" i="12"/>
  <c r="L53" i="6"/>
  <c r="K56" i="6"/>
  <c r="A56" i="6" s="1"/>
  <c r="C55" i="19" s="1"/>
  <c r="S22" i="12"/>
  <c r="P27" i="12"/>
  <c r="V27" i="12" s="1"/>
  <c r="U22" i="12"/>
  <c r="J14" i="11"/>
  <c r="J13" i="11"/>
  <c r="J12" i="11"/>
  <c r="J21" i="11"/>
  <c r="J11" i="11"/>
  <c r="U27" i="12" l="1"/>
  <c r="I7" i="11"/>
  <c r="I6" i="11"/>
  <c r="J6" i="11" s="1"/>
  <c r="J6" i="9" l="1"/>
  <c r="J5" i="11"/>
  <c r="J7" i="11"/>
  <c r="I9" i="11"/>
  <c r="H3" i="11"/>
  <c r="M5" i="5"/>
  <c r="G3" i="11"/>
  <c r="L5" i="5"/>
  <c r="F3" i="11"/>
  <c r="K5" i="5"/>
  <c r="E3" i="11"/>
  <c r="C3" i="11"/>
  <c r="E6" i="5"/>
  <c r="J6" i="5" l="1"/>
  <c r="I6" i="5"/>
  <c r="H6" i="5"/>
  <c r="G6" i="5"/>
  <c r="I30" i="9"/>
  <c r="J30" i="9" s="1"/>
  <c r="I11" i="9"/>
  <c r="J11" i="9" s="1"/>
  <c r="I20" i="11"/>
  <c r="J20" i="11" s="1"/>
  <c r="I19" i="11"/>
  <c r="J19" i="11" s="1"/>
  <c r="J9" i="11"/>
  <c r="I16" i="11" l="1"/>
  <c r="J16" i="11" s="1"/>
  <c r="D23" i="5" l="1"/>
  <c r="B1" i="1"/>
  <c r="B1" i="5"/>
  <c r="M81" i="5"/>
  <c r="M39" i="5"/>
  <c r="F23" i="5"/>
  <c r="D8" i="19" s="1"/>
  <c r="K23" i="5"/>
  <c r="L23" i="5"/>
  <c r="M23" i="5"/>
  <c r="L81" i="5"/>
  <c r="K81" i="5"/>
  <c r="F81" i="5"/>
  <c r="L67" i="5"/>
  <c r="K67" i="5"/>
  <c r="F67" i="5"/>
  <c r="L39" i="5"/>
  <c r="K39" i="5"/>
  <c r="F39" i="5"/>
  <c r="M43" i="1"/>
  <c r="L43" i="1"/>
  <c r="K43" i="1"/>
  <c r="F9" i="7" l="1"/>
  <c r="F8" i="7"/>
  <c r="G8" i="7"/>
  <c r="G9" i="7"/>
  <c r="H9" i="7"/>
  <c r="H8" i="7"/>
  <c r="K45" i="1"/>
  <c r="K46" i="1"/>
  <c r="A46" i="1" s="1"/>
  <c r="F45" i="1"/>
  <c r="M16" i="12"/>
  <c r="N16" i="12"/>
  <c r="H13" i="7"/>
  <c r="D13" i="7"/>
  <c r="G13" i="7"/>
  <c r="E13" i="7"/>
  <c r="F13" i="7"/>
  <c r="J10" i="11"/>
  <c r="H2" i="7"/>
  <c r="G2" i="7"/>
  <c r="H3" i="7" s="1"/>
  <c r="F2" i="7"/>
  <c r="G3" i="7" s="1"/>
  <c r="E2" i="7"/>
  <c r="F3" i="7" s="1"/>
  <c r="D2" i="7"/>
  <c r="E3" i="7" s="1"/>
  <c r="K5" i="6"/>
  <c r="L6" i="6" s="1"/>
  <c r="L5" i="6"/>
  <c r="M6" i="6" s="1"/>
  <c r="M5" i="6"/>
  <c r="F6" i="5"/>
  <c r="K6" i="5"/>
  <c r="L6" i="5"/>
  <c r="M6" i="5"/>
  <c r="M83" i="5"/>
  <c r="F83" i="5"/>
  <c r="M40" i="5"/>
  <c r="D40" i="5"/>
  <c r="L40" i="5"/>
  <c r="K83" i="5"/>
  <c r="L83" i="5"/>
  <c r="F40" i="5"/>
  <c r="D7" i="19" s="1"/>
  <c r="K40" i="5"/>
  <c r="D6" i="7" l="1"/>
  <c r="E7" i="7"/>
  <c r="E6" i="7"/>
  <c r="H6" i="7"/>
  <c r="H7" i="7"/>
  <c r="F6" i="7"/>
  <c r="F7" i="7"/>
  <c r="G6" i="7"/>
  <c r="G7" i="7"/>
  <c r="L16" i="12"/>
  <c r="R16" i="12" s="1"/>
  <c r="N13" i="12"/>
  <c r="L13" i="12"/>
  <c r="R13" i="12" s="1"/>
  <c r="E30" i="19"/>
  <c r="F30" i="19"/>
  <c r="M13" i="12"/>
  <c r="G30" i="19"/>
  <c r="F10" i="7"/>
  <c r="G11" i="7"/>
  <c r="D10" i="7"/>
  <c r="D87" i="5"/>
  <c r="K6" i="6"/>
  <c r="H6" i="6"/>
  <c r="G6" i="6"/>
  <c r="J6" i="6"/>
  <c r="I6" i="6"/>
  <c r="M45" i="1"/>
  <c r="L45" i="1"/>
  <c r="G10" i="7"/>
  <c r="E10" i="7"/>
  <c r="H10" i="7"/>
  <c r="E12" i="7"/>
  <c r="H12" i="7"/>
  <c r="E11" i="7"/>
  <c r="G12" i="7"/>
  <c r="L85" i="5"/>
  <c r="L87" i="5" s="1"/>
  <c r="F12" i="7"/>
  <c r="F11" i="7"/>
  <c r="D11" i="7"/>
  <c r="D12" i="7"/>
  <c r="H11" i="7"/>
  <c r="K85" i="5"/>
  <c r="K87" i="5" s="1"/>
  <c r="F85" i="5"/>
  <c r="F87" i="5" s="1"/>
  <c r="M85" i="5"/>
  <c r="M87" i="5" s="1"/>
  <c r="B34" i="11"/>
  <c r="D3" i="7"/>
  <c r="F6" i="6"/>
  <c r="D6" i="6"/>
  <c r="D6" i="5"/>
  <c r="S16" i="12" l="1"/>
  <c r="P16" i="12"/>
  <c r="U16" i="12" s="1"/>
  <c r="A87" i="5"/>
  <c r="C54" i="19" s="1"/>
  <c r="S13" i="12"/>
  <c r="P13" i="12"/>
  <c r="U13" i="12" s="1"/>
  <c r="N14" i="12"/>
  <c r="M14" i="12"/>
  <c r="R14" i="12"/>
  <c r="C30" i="19"/>
  <c r="D30" i="19"/>
  <c r="A45" i="1"/>
  <c r="C53" i="19" s="1"/>
  <c r="V16" i="12" l="1"/>
  <c r="V13" i="12"/>
  <c r="S14" i="12"/>
  <c r="P14" i="12"/>
  <c r="U14" i="12" s="1"/>
  <c r="I36" i="9"/>
  <c r="J36" i="9" s="1"/>
  <c r="V14" i="12" l="1"/>
  <c r="I40" i="9"/>
  <c r="J40" i="9" s="1"/>
  <c r="E29" i="11" l="1"/>
  <c r="D34" i="19" l="1"/>
  <c r="H29" i="11"/>
  <c r="I27" i="11"/>
  <c r="J27" i="11" s="1"/>
  <c r="G29" i="11"/>
  <c r="G34" i="19" l="1"/>
  <c r="F34" i="19"/>
  <c r="F29" i="11"/>
  <c r="E34" i="19" l="1"/>
  <c r="I29" i="11"/>
</calcChain>
</file>

<file path=xl/sharedStrings.xml><?xml version="1.0" encoding="utf-8"?>
<sst xmlns="http://schemas.openxmlformats.org/spreadsheetml/2006/main" count="597" uniqueCount="386">
  <si>
    <t>EUR</t>
  </si>
  <si>
    <t>Rendimentos e Gastos</t>
  </si>
  <si>
    <t>Notas</t>
  </si>
  <si>
    <t>Vendas</t>
  </si>
  <si>
    <t>Rendimentos/Gastos imputados de entidades controladas, associadas e empreendimentos conjuntos</t>
  </si>
  <si>
    <t>Variação de inventários da produção</t>
  </si>
  <si>
    <t>Trabalhos para a própria entidade</t>
  </si>
  <si>
    <t>Custo das mercadorias vendidas e das matérias consumidas</t>
  </si>
  <si>
    <t>Fornecimentos e serviços externos</t>
  </si>
  <si>
    <t>Gastos com pessoal</t>
  </si>
  <si>
    <t>Transferências e subsídios concedidos</t>
  </si>
  <si>
    <t>Prestações sociais</t>
  </si>
  <si>
    <t>Imparidades de inventários (perdas/reversões)</t>
  </si>
  <si>
    <t>Imparidade de dívidas a receber (perdas/reversões)</t>
  </si>
  <si>
    <t>Provisões (aumentos/reduções)</t>
  </si>
  <si>
    <t>Imparidade de investimentos não depreciáveis / amortizáveis (perdas/reversões)</t>
  </si>
  <si>
    <t>Aumentos / reduções de justo valor</t>
  </si>
  <si>
    <t>Gastos / reversões de depreciação e amortização</t>
  </si>
  <si>
    <t>Imparidade de investimentos depreciáveis/amortizáveis (perdas/reversões)</t>
  </si>
  <si>
    <t>Juros e rendimentos similares obtidos</t>
  </si>
  <si>
    <t>Juros e gastos similares suportados</t>
  </si>
  <si>
    <t>Resultado antes de impostos</t>
  </si>
  <si>
    <t>Imposto sobre o rendimento</t>
  </si>
  <si>
    <t>Resultado líquido do período</t>
  </si>
  <si>
    <t>DEMONSTRAÇÃO INDIVIDUAL DOS RESULTADOS POR NATUREZAS</t>
  </si>
  <si>
    <t>Plano de atividade e orçamento (PAO)</t>
  </si>
  <si>
    <t>BALANÇO</t>
  </si>
  <si>
    <t>Rubricas</t>
  </si>
  <si>
    <t xml:space="preserve">A T I V O </t>
  </si>
  <si>
    <t xml:space="preserve"> Ativo não corrente</t>
  </si>
  <si>
    <t>Ativos fixos tangíveis</t>
  </si>
  <si>
    <t xml:space="preserve">  </t>
  </si>
  <si>
    <t>Propriedades de Investimento</t>
  </si>
  <si>
    <t xml:space="preserve"> </t>
  </si>
  <si>
    <t>Ativos intangíveis</t>
  </si>
  <si>
    <t>Ativos biológicos</t>
  </si>
  <si>
    <t>Participações financeiras</t>
  </si>
  <si>
    <t>Devedores por empréstimos bonificados e subsídios reembolsáveis</t>
  </si>
  <si>
    <t>Clientes, contribuintes e utentes</t>
  </si>
  <si>
    <t>Diferimentos</t>
  </si>
  <si>
    <t>Outros ativos financeiros</t>
  </si>
  <si>
    <t>Outras contas a receber</t>
  </si>
  <si>
    <t>Subtotal</t>
  </si>
  <si>
    <t xml:space="preserve"> Ativo corrente</t>
  </si>
  <si>
    <t>Inventários</t>
  </si>
  <si>
    <t>Devedores por transferências e subsídios não reembolsáveis</t>
  </si>
  <si>
    <t>Estado e outros entes públicos</t>
  </si>
  <si>
    <t>Ativos financeiros detidos para negociação</t>
  </si>
  <si>
    <t>Caixa e depósitos</t>
  </si>
  <si>
    <t>Total do Ativo</t>
  </si>
  <si>
    <t>P A T R I M Ó N I O  L Í Q U I D O</t>
  </si>
  <si>
    <t>Património / Capital</t>
  </si>
  <si>
    <t>Outros instrumentos de capital próprio</t>
  </si>
  <si>
    <t>Prémios de emissão</t>
  </si>
  <si>
    <t>Reservas</t>
  </si>
  <si>
    <t>Resultados transitados</t>
  </si>
  <si>
    <t>Ajustamentos em ativos financeiros</t>
  </si>
  <si>
    <t>Excedentes de revalorização</t>
  </si>
  <si>
    <t>Outras variações no Património Líquido</t>
  </si>
  <si>
    <t>Interesses que não controlam</t>
  </si>
  <si>
    <t>Total do Património Líquido</t>
  </si>
  <si>
    <t>P A S S I V O</t>
  </si>
  <si>
    <t xml:space="preserve">  Passivo não corrente</t>
  </si>
  <si>
    <t>Provisões</t>
  </si>
  <si>
    <t>Financiamentos obtidos</t>
  </si>
  <si>
    <t>Fornecedores de investimentos</t>
  </si>
  <si>
    <t>Fornecedores</t>
  </si>
  <si>
    <t>Responsabilidade por benefícios pós-emprego</t>
  </si>
  <si>
    <t>Outras contas a pagar</t>
  </si>
  <si>
    <t xml:space="preserve">  Passivo corrente</t>
  </si>
  <si>
    <t>Credores por transferências e subsídios concedidos</t>
  </si>
  <si>
    <t>Adiantamentos de clientes, contribuintes e utentes</t>
  </si>
  <si>
    <t>Passivos financeiros detidos para negociação</t>
  </si>
  <si>
    <t>Outros passivos financeiros</t>
  </si>
  <si>
    <t>Total do Passivo</t>
  </si>
  <si>
    <t>Total do Património Líquido e Passivo</t>
  </si>
  <si>
    <t>RUBRICAS</t>
  </si>
  <si>
    <t>Fluxos de caixa de atividades operacionais</t>
  </si>
  <si>
    <t>Recebimentos de clientes</t>
  </si>
  <si>
    <t>Recebimentos de contribuintes</t>
  </si>
  <si>
    <t>Recebimentos de utentes</t>
  </si>
  <si>
    <t>Pagamentos a fornecedores</t>
  </si>
  <si>
    <t>Pagamentos ao pessoal</t>
  </si>
  <si>
    <t>Caixa gerada pelas operações</t>
  </si>
  <si>
    <t>Outros recebimentos/pagamentos</t>
  </si>
  <si>
    <t>Fluxos de caixa das atividades operacionais (a)</t>
  </si>
  <si>
    <t>Fluxos de caixa das atividades de investimento</t>
  </si>
  <si>
    <t>Pagamentos respeitantes a:</t>
  </si>
  <si>
    <t xml:space="preserve">   Ativos fixos tangíveis</t>
  </si>
  <si>
    <t xml:space="preserve">   Ativos intangíveis</t>
  </si>
  <si>
    <t xml:space="preserve">   Propriedades de investimento</t>
  </si>
  <si>
    <t xml:space="preserve">   Investimentos financeiros</t>
  </si>
  <si>
    <t xml:space="preserve">   Outros Ativos</t>
  </si>
  <si>
    <t>Recebimentos provenientes de:</t>
  </si>
  <si>
    <t xml:space="preserve">   Subsídios ao investimento</t>
  </si>
  <si>
    <t xml:space="preserve">   Transferências de capital</t>
  </si>
  <si>
    <t xml:space="preserve">   Juros e rendimentos similares</t>
  </si>
  <si>
    <t xml:space="preserve">   Dividendos</t>
  </si>
  <si>
    <t>Fluxos de caixa das atividades de investimento (b)</t>
  </si>
  <si>
    <t>Fluxos de caixa das atividades de financiamento</t>
  </si>
  <si>
    <t xml:space="preserve">   Financiamentos obtidos</t>
  </si>
  <si>
    <t xml:space="preserve">   Realizações de capital e de outros instrumentos de capital</t>
  </si>
  <si>
    <t xml:space="preserve">   Cobertura de prejuízos</t>
  </si>
  <si>
    <t xml:space="preserve">   Doações</t>
  </si>
  <si>
    <t xml:space="preserve">   Outras operações de financiamento</t>
  </si>
  <si>
    <t xml:space="preserve">   Juros e gastos similares</t>
  </si>
  <si>
    <t xml:space="preserve">   Reduções de capital e outros instrumentos de capital</t>
  </si>
  <si>
    <t>Fluxos de caixa de atividades de financiamento (c)</t>
  </si>
  <si>
    <t>Variação de caixa e seus equivalentes (a + b + c)</t>
  </si>
  <si>
    <t>Caixa e seus equivalentes no início do período</t>
  </si>
  <si>
    <t>Caixa e seus equivalentes no fim do período</t>
  </si>
  <si>
    <t>Demonstração dos Fluxos de Caixa</t>
  </si>
  <si>
    <t>Impostos e taxas</t>
  </si>
  <si>
    <t>Prestações de serviços</t>
  </si>
  <si>
    <t>Transferências e subsídios correntes à exploração obtidos</t>
  </si>
  <si>
    <t>Outros rendimentos e ganhos</t>
  </si>
  <si>
    <t>Outros gastos e perdas</t>
  </si>
  <si>
    <t>Valor</t>
  </si>
  <si>
    <t>%</t>
  </si>
  <si>
    <t>Rácios Financeiros</t>
  </si>
  <si>
    <t>CMVMC</t>
  </si>
  <si>
    <t>FSE</t>
  </si>
  <si>
    <t>Gastos operacionais (GO)</t>
  </si>
  <si>
    <t>TOTAL</t>
  </si>
  <si>
    <t>Nº Total de Trabalhadores</t>
  </si>
  <si>
    <t>Nº de membros dos órgãos sociais</t>
  </si>
  <si>
    <t>Nº de membros cargos de direção</t>
  </si>
  <si>
    <t>Nº dos restantes trabalhadores</t>
  </si>
  <si>
    <t>Gastos com cargos de direção</t>
  </si>
  <si>
    <t>Remuneração do pessoal</t>
  </si>
  <si>
    <t>(-) Cumprimento de disposições legais</t>
  </si>
  <si>
    <t>(-) Valorizações remuneratórias obrigatórias</t>
  </si>
  <si>
    <t>(+) Absentismo</t>
  </si>
  <si>
    <t>Deslocações e alojamento</t>
  </si>
  <si>
    <t>Ajudas de custo</t>
  </si>
  <si>
    <t>Associados à frota automóvel</t>
  </si>
  <si>
    <t>Contratação de estudos, pareceres, projetos e consultoria</t>
  </si>
  <si>
    <t>Formúla</t>
  </si>
  <si>
    <t>EBITDA/Volume de Negócio</t>
  </si>
  <si>
    <t>Passivo/Ativo</t>
  </si>
  <si>
    <t>Rentabilidade das vendas</t>
  </si>
  <si>
    <t>Rentabilidade do Ativo</t>
  </si>
  <si>
    <t>Rentabilidade do Capital próprio</t>
  </si>
  <si>
    <t>Endividamento Corrente</t>
  </si>
  <si>
    <t>Autonomia financeira</t>
  </si>
  <si>
    <t>Liquidez Geral</t>
  </si>
  <si>
    <t>Passivo Corrente/Ativo</t>
  </si>
  <si>
    <t>Capital Próprio/Ativo</t>
  </si>
  <si>
    <t>Ativo Corrente/Passivo Corrente</t>
  </si>
  <si>
    <t>Ano 0</t>
  </si>
  <si>
    <t>Eficiência operacional</t>
  </si>
  <si>
    <t>Unidade</t>
  </si>
  <si>
    <t>Impacto A</t>
  </si>
  <si>
    <t>Impacto …</t>
  </si>
  <si>
    <t>Prestações de Serviços</t>
  </si>
  <si>
    <t>Gastos Operacionais/Volume de Negócio (GO/VN)</t>
  </si>
  <si>
    <t>Pessoal</t>
  </si>
  <si>
    <t>Benefícios pós-emprego</t>
  </si>
  <si>
    <t>Restantes encargos</t>
  </si>
  <si>
    <t>Rescisões / Indemnizações</t>
  </si>
  <si>
    <t>Indemnizações Compensatórias (conforme Contrato Serv. Público)</t>
  </si>
  <si>
    <t>* Se aplicável: Os impactos/gastos excecionais devem ser justificados em sede de PAO e devidamente discrimidados</t>
  </si>
  <si>
    <t xml:space="preserve">** Se aplicável: outros rendimentos que concorram para o VN, que devem ser justificados em sede de PAO </t>
  </si>
  <si>
    <t>Variação média anual do triénio</t>
  </si>
  <si>
    <t>Cumpre 1ª ano</t>
  </si>
  <si>
    <t>Cumpre Triénio</t>
  </si>
  <si>
    <t>S</t>
  </si>
  <si>
    <t>N</t>
  </si>
  <si>
    <t>N/A</t>
  </si>
  <si>
    <t>Taxa de crescimento nominal PIB</t>
  </si>
  <si>
    <t>IEIPG</t>
  </si>
  <si>
    <t>1. Desproteger folhas: posicionar-se na folha que pretende desproteger e posteriormente deve aceder ao Menu "Rever" e selecionar o Botão "desproteger folha". Após efetuar este passo terá acesso total à folha.</t>
  </si>
  <si>
    <t>Δ de endividamento</t>
  </si>
  <si>
    <t>Capital estatutário</t>
  </si>
  <si>
    <t>(-) Novos investimentos com expressão material</t>
  </si>
  <si>
    <t>Endividamento (fórmula)</t>
  </si>
  <si>
    <t>(-) Subsídio reembolsável ou um empréstimo bonificado afeto a um contrato de um projeto comunitário (Conta SNC-AP: 20422)</t>
  </si>
  <si>
    <t>Dias</t>
  </si>
  <si>
    <t>Outros</t>
  </si>
  <si>
    <t>Prazo Médio de Pagamento</t>
  </si>
  <si>
    <t>Pagamentos em Atraso (Arrears)</t>
  </si>
  <si>
    <t>2. Pressupostos Macroeconómicos:</t>
  </si>
  <si>
    <t>Evoluções dos Preços</t>
  </si>
  <si>
    <r>
      <t>PIB</t>
    </r>
    <r>
      <rPr>
        <b/>
        <vertAlign val="superscript"/>
        <sz val="8"/>
        <rFont val="Verdana"/>
        <family val="2"/>
      </rPr>
      <t>1</t>
    </r>
  </si>
  <si>
    <r>
      <t>Consumo Privado</t>
    </r>
    <r>
      <rPr>
        <vertAlign val="superscript"/>
        <sz val="8"/>
        <rFont val="Verdana"/>
        <family val="2"/>
      </rPr>
      <t>2</t>
    </r>
  </si>
  <si>
    <r>
      <t>Consumo Público</t>
    </r>
    <r>
      <rPr>
        <vertAlign val="superscript"/>
        <sz val="8"/>
        <rFont val="Verdana"/>
        <family val="2"/>
      </rPr>
      <t>2</t>
    </r>
  </si>
  <si>
    <r>
      <t>Investimento</t>
    </r>
    <r>
      <rPr>
        <vertAlign val="superscript"/>
        <sz val="8"/>
        <rFont val="Verdana"/>
        <family val="2"/>
      </rPr>
      <t>2</t>
    </r>
  </si>
  <si>
    <r>
      <t>Exportações de Bens e Serviços</t>
    </r>
    <r>
      <rPr>
        <vertAlign val="superscript"/>
        <sz val="8"/>
        <rFont val="Verdana"/>
        <family val="2"/>
      </rPr>
      <t>2</t>
    </r>
  </si>
  <si>
    <r>
      <t>Importações de Bens e Serviços</t>
    </r>
    <r>
      <rPr>
        <vertAlign val="superscript"/>
        <sz val="8"/>
        <rFont val="Verdana"/>
        <family val="2"/>
      </rPr>
      <t>2</t>
    </r>
  </si>
  <si>
    <r>
      <t>IPC</t>
    </r>
    <r>
      <rPr>
        <vertAlign val="superscript"/>
        <sz val="8"/>
        <rFont val="Verdana"/>
        <family val="2"/>
      </rPr>
      <t>1</t>
    </r>
  </si>
  <si>
    <t>PIB e componentes da despesa em termos reais*</t>
  </si>
  <si>
    <t>Notas:</t>
  </si>
  <si>
    <t>* Preços Constantes (2016)</t>
  </si>
  <si>
    <r>
      <rPr>
        <vertAlign val="superscript"/>
        <sz val="7"/>
        <rFont val="Verdana"/>
        <family val="2"/>
      </rPr>
      <t>1</t>
    </r>
    <r>
      <rPr>
        <sz val="7"/>
        <rFont val="Verdana"/>
        <family val="2"/>
      </rPr>
      <t xml:space="preserve"> Previsão de Verão da Comissão Europeia</t>
    </r>
  </si>
  <si>
    <r>
      <rPr>
        <vertAlign val="superscript"/>
        <sz val="7"/>
        <rFont val="Verdana"/>
        <family val="2"/>
      </rPr>
      <t>2</t>
    </r>
    <r>
      <rPr>
        <sz val="7"/>
        <rFont val="Verdana"/>
        <family val="2"/>
      </rPr>
      <t xml:space="preserve"> Previsão da Primavera da Comissão Europeia</t>
    </r>
  </si>
  <si>
    <t>Validações</t>
  </si>
  <si>
    <t>Balanço</t>
  </si>
  <si>
    <t>APOIO:</t>
  </si>
  <si>
    <t>2. Ao efetuar o passo 1, passará a ter o domínio da folha desprotegida podendo alterar formúlas (se aplicável), alterar formatação condicionada ou inserir linhas.</t>
  </si>
  <si>
    <t>1º Pretendo introduzir uma nova rubrica no Ativo corrente. Devo selecionar a última célula do ativo Corrente, neste exemplo "Caixa e depósitos"</t>
  </si>
  <si>
    <t>2º Seleccionar o botão direito do rato e posteriormente selecione o comando "Inserir". Após aberturas das oções selecionar inserir linha.</t>
  </si>
  <si>
    <t>4. As restantes folhas aparecem preenchidas com alertas que podem ajudar na elaboração do PAO</t>
  </si>
  <si>
    <t>5. Caso seja necessário introduzir linhas e/ou alterar formúlas deve seguir os passos do ponto seguinte "APOIO"</t>
  </si>
  <si>
    <t>Grupo Profissional</t>
  </si>
  <si>
    <t>Saídas esperadas (reformas/outros)</t>
  </si>
  <si>
    <t>Trabalhadores ausentes por mobilidade/cedência/licença</t>
  </si>
  <si>
    <t>Entradas ao abrigo do … (normativo legal, despacho, etc.)</t>
  </si>
  <si>
    <t>Autorizações de recrutamento solicitadas</t>
  </si>
  <si>
    <t>(1)</t>
  </si>
  <si>
    <t>(2)</t>
  </si>
  <si>
    <t>(3)</t>
  </si>
  <si>
    <t>(4)</t>
  </si>
  <si>
    <t>(5)</t>
  </si>
  <si>
    <t>(6)</t>
  </si>
  <si>
    <t>(7) = (1) - (2) + (3) + (4) + (5) + (6)</t>
  </si>
  <si>
    <t>Cargos de direção (s/ OS)</t>
  </si>
  <si>
    <t>Órgãos Sociais (OS)</t>
  </si>
  <si>
    <t>Categoria 1 (*)</t>
  </si>
  <si>
    <t>Categoria 2 (*)</t>
  </si>
  <si>
    <t>… (*)</t>
  </si>
  <si>
    <t>Categoria n (*)</t>
  </si>
  <si>
    <t>Total</t>
  </si>
  <si>
    <t>Estrutura do Ficheiro</t>
  </si>
  <si>
    <t>Instruções</t>
  </si>
  <si>
    <t>Demonstração de Resultados</t>
  </si>
  <si>
    <t>Demonstração de Fluxos de Caixa</t>
  </si>
  <si>
    <t>Recursos Humanos</t>
  </si>
  <si>
    <t>Board Resumo</t>
  </si>
  <si>
    <t>PIB nominal</t>
  </si>
  <si>
    <t>Demonstrações financeiras</t>
  </si>
  <si>
    <t>Autorizações de recrutamento concedidas em 2023</t>
  </si>
  <si>
    <t>Substituição de saídas previstas ocorrer em 2024 (obriga a entrada para base de carreira)</t>
  </si>
  <si>
    <t>Substituição de saídas previstas ocorrer em 2026 (obriga a entrada para base de carreira)</t>
  </si>
  <si>
    <t>Substituição de saídas previstas ocorrer em 2025 (obriga a entrada para base de carreira)</t>
  </si>
  <si>
    <t>= '2024 - (2) + (4) + (5) + (6)</t>
  </si>
  <si>
    <t>= '2025 - (2) + (4) + (5) + (6)</t>
  </si>
  <si>
    <t>Situação a 01.01.2024</t>
  </si>
  <si>
    <t>Idade média</t>
  </si>
  <si>
    <t># de trabalhadores com 60 ou mais anos</t>
  </si>
  <si>
    <t># de trabalhadores em idade de reforma</t>
  </si>
  <si>
    <t>(-) Gastos com órgãos sociais*</t>
  </si>
  <si>
    <t>Gastos com pessoal ajustados para efeitos de rácio</t>
  </si>
  <si>
    <t>Gastos com dirigentes / Gastos com pessoal ajustados</t>
  </si>
  <si>
    <t>Gastos com OS / Gastos com pessoal ajustados</t>
  </si>
  <si>
    <t>Fornecimentos e serviços externos (1)</t>
  </si>
  <si>
    <t>Fornecimentos e serviços externos (2)</t>
  </si>
  <si>
    <t>Fornecimentos e serviços externos (3)</t>
  </si>
  <si>
    <t>Fornecimentos e serviços externos (...)</t>
  </si>
  <si>
    <t xml:space="preserve">Detalhe de Fornecimentos e serviços externos
</t>
  </si>
  <si>
    <t>Gastos operacionais ajustados</t>
  </si>
  <si>
    <t>Volume de Negócios ajustado</t>
  </si>
  <si>
    <t>Check</t>
  </si>
  <si>
    <t>Check Balanço</t>
  </si>
  <si>
    <t>Check Trimestres</t>
  </si>
  <si>
    <t>Volume de negócios</t>
  </si>
  <si>
    <t>Check Demonstração de resultados</t>
  </si>
  <si>
    <t>Financiamento remunerado</t>
  </si>
  <si>
    <t>Investimentos</t>
  </si>
  <si>
    <t>Despesa Total</t>
  </si>
  <si>
    <t>OE 2024</t>
  </si>
  <si>
    <t>PAO 2024 (Conforme DFC)</t>
  </si>
  <si>
    <t>Conformidade com proposta de Orçamento de Estado para 2024</t>
  </si>
  <si>
    <t>Folhas</t>
  </si>
  <si>
    <t>Erros</t>
  </si>
  <si>
    <t>Check Trimestre</t>
  </si>
  <si>
    <t>Demonstação de resultados</t>
  </si>
  <si>
    <t>Demonstração de fluxos de caixa</t>
  </si>
  <si>
    <t>Acionistas / Sócios / Associados</t>
  </si>
  <si>
    <t>Ativos por impostos diferidos</t>
  </si>
  <si>
    <t>Ativos não correntes detidos para venda</t>
  </si>
  <si>
    <t>Ações (quotas) próprias</t>
  </si>
  <si>
    <t>Dividendos antecipados</t>
  </si>
  <si>
    <t>Passivos por impostos diferidos</t>
  </si>
  <si>
    <t>Investimento 1</t>
  </si>
  <si>
    <t>Investimento 2</t>
  </si>
  <si>
    <t>Financiamento A</t>
  </si>
  <si>
    <t>Financiamento B</t>
  </si>
  <si>
    <t>Financiamento C</t>
  </si>
  <si>
    <t>Investimento 3</t>
  </si>
  <si>
    <t>Total investimento</t>
  </si>
  <si>
    <t>Total financiamento</t>
  </si>
  <si>
    <t>Ativo (total)</t>
  </si>
  <si>
    <t>não corrent.</t>
  </si>
  <si>
    <t>corrente</t>
  </si>
  <si>
    <t>CP (total)</t>
  </si>
  <si>
    <t>rest.trans.</t>
  </si>
  <si>
    <t>Passivo (total)</t>
  </si>
  <si>
    <t>EBITDA</t>
  </si>
  <si>
    <t>EBIT</t>
  </si>
  <si>
    <t>(iii) Cumprimento de disposições legais</t>
  </si>
  <si>
    <t>Gastos totais com pessoal*</t>
  </si>
  <si>
    <t>Gastos com órgãos sociais**</t>
  </si>
  <si>
    <t>** Sobre a remuneração dos gestores incide a redução prevista no artigo 12.º da Lei n.º 12-A/2010, de 30 de junho.</t>
  </si>
  <si>
    <t>GO/VN</t>
  </si>
  <si>
    <t>Plano de investimentos</t>
  </si>
  <si>
    <t>Endividamento, Prazo Médio de Pagamento, Pagamentos em Atraso, FSEs</t>
  </si>
  <si>
    <t>* O detalhe dos gastos com pessoal deve ser preenchido com os respetivos encargos com a Segurança Social</t>
  </si>
  <si>
    <t>Resultado operacional líquido de provisões, imparidades e correções de justo valor</t>
  </si>
  <si>
    <t xml:space="preserve">Frota automóvel
</t>
  </si>
  <si>
    <t>Operacional - EUR</t>
  </si>
  <si>
    <t>Não operacional - EUR</t>
  </si>
  <si>
    <t>Operacional - n.º de viaturas</t>
  </si>
  <si>
    <t>Não operacional - n.º de viaturas</t>
  </si>
  <si>
    <t>Resultado líquido</t>
  </si>
  <si>
    <t>Volume de Negócios (incl. ICs)</t>
  </si>
  <si>
    <t>Gastos com Pessoal</t>
  </si>
  <si>
    <t>Demonstração de resultados</t>
  </si>
  <si>
    <t>VAL estimado (em €)</t>
  </si>
  <si>
    <t>Rentabilidade dos RH</t>
  </si>
  <si>
    <t>% de crescimento</t>
  </si>
  <si>
    <t>Fonte: GPEARI</t>
  </si>
  <si>
    <t>Resultado Operacional/n.º de trabalhadores</t>
  </si>
  <si>
    <t>Resultado antes de depreciações e gastos de financiamento (EBITDA)</t>
  </si>
  <si>
    <t>Resultado operacional (EBIT)</t>
  </si>
  <si>
    <t>Impactos decorrentes de obrigações legais*</t>
  </si>
  <si>
    <t>Impacto na receita decorrente de obrigações legais**</t>
  </si>
  <si>
    <t>Nota: Quando a natureza da empresa não permite aferir a eficiência operacional, deverá a empresa apresentar uma proposta de um indicador de eficiência operacional alternativo na proposta de PAO, o qual deve ser mantido, pelo menos, nos exercícios de 2025 e 2026, a autorizar expressamente pelos membros do Governo responsáveis pela área das finanças e pela área setorial</t>
  </si>
  <si>
    <t>Mapa RH</t>
  </si>
  <si>
    <t xml:space="preserve">Unid: </t>
  </si>
  <si>
    <t>Unidade:</t>
  </si>
  <si>
    <t>Nota: Identificar se se trata de investimento de substituição ou de expansão, e se está contingente na concretização de financiamentos (v.g., de candidaturas a fundos estruturais)</t>
  </si>
  <si>
    <t>Endividamento líquido de novos investimentos</t>
  </si>
  <si>
    <t>ORIENTAÇÕES FINANCEIRAS PARA O TRIÉNIO</t>
  </si>
  <si>
    <t>Δ de endividamento (%)</t>
  </si>
  <si>
    <t>a) Volume de negócios</t>
  </si>
  <si>
    <t>c) Resultado líquido</t>
  </si>
  <si>
    <t>e) Rentabilidade dos RH</t>
  </si>
  <si>
    <t>d) Rentabilidade do Ativo (ROA)</t>
  </si>
  <si>
    <t>f) Rentabilidade do Capital Próprio (ROE)</t>
  </si>
  <si>
    <t>Passivo total</t>
  </si>
  <si>
    <t>Taxa de crescimento real PIB</t>
  </si>
  <si>
    <t>i) Volume de negócios (real)</t>
  </si>
  <si>
    <t>Taxa de crescimento IPC</t>
  </si>
  <si>
    <t>g) Endividamento líquido de novos investimentos</t>
  </si>
  <si>
    <r>
      <t>h) Pagamentos em Atraso (</t>
    </r>
    <r>
      <rPr>
        <i/>
        <sz val="8"/>
        <color theme="1"/>
        <rFont val="Verdana"/>
        <family val="2"/>
      </rPr>
      <t>Arrears</t>
    </r>
    <r>
      <rPr>
        <sz val="8"/>
        <color theme="1"/>
        <rFont val="Verdana"/>
        <family val="2"/>
      </rPr>
      <t>)</t>
    </r>
  </si>
  <si>
    <t>Informação adicional</t>
  </si>
  <si>
    <t>Eficiência operacional (SNS)</t>
  </si>
  <si>
    <t>N.º de doentes ou atos médicos</t>
  </si>
  <si>
    <t>Resultado Líquido/Capital Próprio médio</t>
  </si>
  <si>
    <t>Resultado Operacional/Ativo médio</t>
  </si>
  <si>
    <t>ii) Gastos operacionais (%)</t>
  </si>
  <si>
    <t>Gastos Operacionais/Indicador de produção (GO/IP)</t>
  </si>
  <si>
    <t xml:space="preserve">Relação de preços entre as linhas de atividade </t>
  </si>
  <si>
    <t>* Média ponderada, na qual as quantidades são o número de doentes ou atos médicos por linha de atividade e o ponderador é, para todo o triénio, a relação de preços entre as linhas de atividade utilizadas para o cálculo do doente padrão em 2024. As U.L.S. podem utilizar como denominador do rácio a população residente, desde que adequadamente fundamentado.</t>
  </si>
  <si>
    <t>Indicador de Produção anual*</t>
  </si>
  <si>
    <t>OTIMIZAÇÃO DE GASTOS</t>
  </si>
  <si>
    <t xml:space="preserve">Horas extraordinárias e prestações de serviços médicos (SNS)
</t>
  </si>
  <si>
    <t>Prestações de serviços médicos</t>
  </si>
  <si>
    <t>(ii) Gastos com as contratações previstas em anos subsequentes</t>
  </si>
  <si>
    <t>SNS: Horas extraordinárias e prestações de serviços médicos</t>
  </si>
  <si>
    <t>(iv) Orientações expressas do acionista Estado</t>
  </si>
  <si>
    <t>(v) Valorizações remuneratórias obrigatórias</t>
  </si>
  <si>
    <t>(vi) Outras valorizações remuneratórias</t>
  </si>
  <si>
    <t>b) EBIT, líq. de provisões, imparidades e correções de justo valor</t>
  </si>
  <si>
    <t>SNS: Gastos com pessoal ajustados</t>
  </si>
  <si>
    <t>Gastos operacionais (corrigido do IPC)</t>
  </si>
  <si>
    <t>(vii) Rescisões por mútuo acordo</t>
  </si>
  <si>
    <t>(-) Rescisões contratuais excluindo por mútuo acordo</t>
  </si>
  <si>
    <t>Horas extraordinárias com serviços médicos</t>
  </si>
  <si>
    <t>Horas extraordinárias com serviços de enfermagem</t>
  </si>
  <si>
    <t>Horas extraordinárias com outros grupos profissionais</t>
  </si>
  <si>
    <t>Outras prestações de serviços</t>
  </si>
  <si>
    <t>Cumprimento</t>
  </si>
  <si>
    <t>Resumo</t>
  </si>
  <si>
    <t>1. Parâmetros: Preencher descrição da Empresa</t>
  </si>
  <si>
    <t>População residente (ULS)</t>
  </si>
  <si>
    <t>Endividamento líquido de novos investimentos, de acordo com o DLEO 2023</t>
  </si>
  <si>
    <t>Correções para efeitos de rácio</t>
  </si>
  <si>
    <t>GO/IP (SNS)</t>
  </si>
  <si>
    <t>I</t>
  </si>
  <si>
    <t>F</t>
  </si>
  <si>
    <t>Investimento 4</t>
  </si>
  <si>
    <t>Investimento 5</t>
  </si>
  <si>
    <t>2.  Nas folhas de cálculo com separadores cor laranja e azul: Preencher as células a cor amarelo. O preenchimento destas células irá preencher de forma automática os dados nos restantes separadores</t>
  </si>
  <si>
    <t>3.  Nas folhas de cálculo com separadores cor verde: Se necessário preencher as células a cor amarelo</t>
  </si>
  <si>
    <t>2º Seleccionar o botão direito do rato e posteriormente selecione o comando "Copiar".</t>
  </si>
  <si>
    <t>3. Se optar inserir linhas deverá ter alguns cuidados de forma a não comprometer os vários somatórios.
3.1 Exemplo: Balanço</t>
  </si>
  <si>
    <t>3.2 Exemplo: Investimentos</t>
  </si>
  <si>
    <t>1º Pretendo introduzir um novo Investimento (no exemplo: Investimento 6). Devo selecionar o último Investimento (Investimento 5), no caso da figura abaixo selecionar da linha 30 à linha 34.</t>
  </si>
  <si>
    <t>Se fizer desta forma não compromete os somatórios das linhas seguintes.</t>
  </si>
  <si>
    <t>Se fizer desta forma não compromete os somatórios existentes na folha de cálculo.</t>
  </si>
  <si>
    <t>3º No exemplo, selecionar a linha 35 e seleccionar o botão direito do rato, de seguida selecione o comando "Inserir Células Copiadas".</t>
  </si>
  <si>
    <t>Gastos com R. pessoal / Gastos com pessoal ajustados</t>
  </si>
  <si>
    <t>Resultado Operacional/Ativo</t>
  </si>
  <si>
    <t>Resultado Líquido/Capital Próprio</t>
  </si>
  <si>
    <t>INSTRUÇÕES: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</si>
</sst>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#,##0.00\ &quot;€&quot;"/>
    <numFmt numFmtId="166" formatCode="0.0%"/>
    <numFmt numFmtId="167" formatCode="#,##0.0"/>
    <numFmt numFmtId="168" formatCode="\+0%;\-0%;0%"/>
    <numFmt numFmtId="169" formatCode="0.0"/>
    <numFmt numFmtId="170" formatCode="_-* #,##0_-;\-* #,##0_-;_-* &quot;-&quot;??_-;_-@_-"/>
    <numFmt numFmtId="171" formatCode="_-* #,##0\ &quot;€&quot;_-;\-* #,##0\ &quot;€&quot;_-;_-* &quot;-&quot;??\ &quot;€&quot;_-;_-@_-"/>
    <numFmt numFmtId="172" formatCode="#,##0\ &quot;€&quot;"/>
    <numFmt numFmtId="173" formatCode="0\,0&quot; p.p.&quot;"/>
    <numFmt numFmtId="174" formatCode="_-* #,##0&quot;x&quot;_-;\-* #,##0&quot;x&quot;_-;_-* &quot;-&quot;_-;_-@_-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.25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8"/>
      <name val="Microsoft Sans Serif"/>
      <family val="2"/>
    </font>
    <font>
      <sz val="10"/>
      <name val="Verdana"/>
      <family val="2"/>
    </font>
    <font>
      <sz val="10"/>
      <color indexed="23"/>
      <name val="Verdana"/>
      <family val="2"/>
    </font>
    <font>
      <sz val="8"/>
      <color indexed="23"/>
      <name val="Verdana"/>
      <family val="2"/>
    </font>
    <font>
      <sz val="14"/>
      <color theme="0"/>
      <name val="Century Gothic"/>
      <family val="2"/>
    </font>
    <font>
      <sz val="8"/>
      <color indexed="63"/>
      <name val="Verdana"/>
      <family val="2"/>
    </font>
    <font>
      <sz val="12"/>
      <color theme="0"/>
      <name val="Century Gothic"/>
      <family val="2"/>
    </font>
    <font>
      <b/>
      <sz val="8"/>
      <name val="Verdana"/>
      <family val="2"/>
    </font>
    <font>
      <b/>
      <sz val="8"/>
      <color theme="1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sz val="8.25"/>
      <name val="Verdana"/>
      <family val="2"/>
    </font>
    <font>
      <sz val="11"/>
      <color theme="1"/>
      <name val="Verdana"/>
      <family val="2"/>
    </font>
    <font>
      <sz val="10"/>
      <color indexed="9"/>
      <name val="Century Gothic"/>
      <family val="2"/>
    </font>
    <font>
      <b/>
      <sz val="8"/>
      <color theme="0"/>
      <name val="Verdana"/>
      <family val="2"/>
    </font>
    <font>
      <sz val="7"/>
      <color theme="0"/>
      <name val="Verdana"/>
      <family val="2"/>
    </font>
    <font>
      <sz val="8"/>
      <color theme="0"/>
      <name val="Century Gothic"/>
      <family val="2"/>
    </font>
    <font>
      <b/>
      <sz val="11"/>
      <color theme="1"/>
      <name val="Century Gothic"/>
      <family val="2"/>
    </font>
    <font>
      <b/>
      <sz val="8"/>
      <name val="Calibri"/>
      <family val="2"/>
      <scheme val="minor"/>
    </font>
    <font>
      <sz val="7"/>
      <color theme="1"/>
      <name val="Century Gothic"/>
      <family val="2"/>
    </font>
    <font>
      <sz val="8.25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0"/>
      <name val="Calibri"/>
      <family val="2"/>
    </font>
    <font>
      <b/>
      <sz val="10"/>
      <color rgb="FF000000"/>
      <name val="Calibri"/>
      <family val="2"/>
    </font>
    <font>
      <i/>
      <sz val="9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0" tint="-0.499984740745262"/>
      <name val="Calibri"/>
      <family val="2"/>
    </font>
    <font>
      <i/>
      <sz val="9"/>
      <color rgb="FF000000"/>
      <name val="Calibri"/>
      <family val="2"/>
    </font>
    <font>
      <sz val="11"/>
      <name val="Calibri"/>
      <family val="2"/>
      <scheme val="minor"/>
    </font>
    <font>
      <sz val="7"/>
      <color rgb="FF000000"/>
      <name val="Verdana"/>
      <family val="2"/>
    </font>
    <font>
      <sz val="7"/>
      <color rgb="FF000000"/>
      <name val="Calibri"/>
      <family val="2"/>
    </font>
    <font>
      <b/>
      <sz val="6"/>
      <color theme="0"/>
      <name val="Verdana"/>
      <family val="2"/>
    </font>
    <font>
      <sz val="7"/>
      <color theme="0"/>
      <name val="Century Gothic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5"/>
      <color theme="1"/>
      <name val="Verdana"/>
      <family val="2"/>
    </font>
    <font>
      <b/>
      <vertAlign val="superscript"/>
      <sz val="8"/>
      <name val="Verdana"/>
      <family val="2"/>
    </font>
    <font>
      <vertAlign val="superscript"/>
      <sz val="8"/>
      <name val="Verdana"/>
      <family val="2"/>
    </font>
    <font>
      <sz val="7"/>
      <name val="Verdana"/>
      <family val="2"/>
    </font>
    <font>
      <vertAlign val="superscript"/>
      <sz val="7"/>
      <name val="Verdana"/>
      <family val="2"/>
    </font>
    <font>
      <sz val="7"/>
      <color theme="1"/>
      <name val="Verdana"/>
      <family val="2"/>
    </font>
    <font>
      <sz val="10"/>
      <color theme="1"/>
      <name val="Verdana"/>
      <family val="2"/>
    </font>
    <font>
      <sz val="9"/>
      <color theme="0"/>
      <name val="Century Gothic"/>
      <family val="2"/>
    </font>
    <font>
      <sz val="10"/>
      <name val="Arial"/>
      <family val="2"/>
    </font>
    <font>
      <sz val="11"/>
      <color theme="0"/>
      <name val="Century Gothic"/>
      <family val="2"/>
    </font>
    <font>
      <sz val="8"/>
      <color rgb="FFFF0000"/>
      <name val="Verdana"/>
      <family val="2"/>
    </font>
    <font>
      <sz val="8"/>
      <color theme="1"/>
      <name val="Calibri"/>
      <family val="2"/>
      <scheme val="minor"/>
    </font>
    <font>
      <sz val="8"/>
      <color rgb="FFFF0000"/>
      <name val="Microsoft Sans Serif"/>
      <family val="2"/>
    </font>
    <font>
      <b/>
      <sz val="8"/>
      <color theme="0"/>
      <name val="Century Gothic"/>
      <family val="2"/>
    </font>
    <font>
      <sz val="11"/>
      <name val="Verdana"/>
      <family val="2"/>
    </font>
    <font>
      <sz val="11"/>
      <color indexed="9"/>
      <name val="Century Gothic"/>
      <family val="2"/>
    </font>
    <font>
      <b/>
      <sz val="9"/>
      <name val="Verdana"/>
      <family val="2"/>
    </font>
    <font>
      <sz val="8"/>
      <color theme="1"/>
      <name val="Arial"/>
      <family val="2"/>
    </font>
    <font>
      <u/>
      <sz val="10"/>
      <name val="Verdana"/>
      <family val="2"/>
    </font>
    <font>
      <i/>
      <sz val="8"/>
      <name val="Verdana"/>
      <family val="2"/>
    </font>
    <font>
      <i/>
      <sz val="8"/>
      <color theme="1"/>
      <name val="Verdana"/>
      <family val="2"/>
    </font>
    <font>
      <sz val="8"/>
      <color theme="0"/>
      <name val="Calibri"/>
      <family val="2"/>
      <scheme val="minor"/>
    </font>
    <font>
      <sz val="8"/>
      <color theme="0"/>
      <name val="Verdana"/>
      <family val="2"/>
    </font>
    <font>
      <b/>
      <u/>
      <sz val="8"/>
      <color indexed="63"/>
      <name val="Verdana"/>
      <family val="2"/>
    </font>
    <font>
      <sz val="11"/>
      <color theme="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rgb="FF002060"/>
        <bgColor indexed="64"/>
      </patternFill>
    </fill>
    <fill>
      <patternFill patternType="solid">
        <fgColor rgb="FFE5EB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C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hair">
        <color theme="4" tint="-0.499984740745262"/>
      </left>
      <right style="thin">
        <color theme="0"/>
      </right>
      <top style="hair">
        <color theme="4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hair">
        <color theme="4" tint="-0.499984740745262"/>
      </top>
      <bottom style="thin">
        <color theme="0"/>
      </bottom>
      <diagonal/>
    </border>
    <border>
      <left style="thin">
        <color theme="0"/>
      </left>
      <right style="hair">
        <color theme="4" tint="-0.499984740745262"/>
      </right>
      <top style="hair">
        <color theme="4" tint="-0.499984740745262"/>
      </top>
      <bottom style="thin">
        <color theme="0"/>
      </bottom>
      <diagonal/>
    </border>
    <border>
      <left style="hair">
        <color theme="4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4" tint="-0.499984740745262"/>
      </right>
      <top style="thin">
        <color theme="0"/>
      </top>
      <bottom style="thin">
        <color theme="0"/>
      </bottom>
      <diagonal/>
    </border>
    <border>
      <left style="hair">
        <color theme="4" tint="-0.499984740745262"/>
      </left>
      <right/>
      <top/>
      <bottom/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 tint="-0.499984740745262"/>
      </left>
      <right style="thin">
        <color theme="0"/>
      </right>
      <top style="thin">
        <color theme="0"/>
      </top>
      <bottom style="hair">
        <color theme="4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4" tint="-0.499984740745262"/>
      </bottom>
      <diagonal/>
    </border>
    <border>
      <left style="thin">
        <color theme="0"/>
      </left>
      <right style="hair">
        <color theme="4" tint="-0.499984740745262"/>
      </right>
      <top style="thin">
        <color theme="0"/>
      </top>
      <bottom style="hair">
        <color theme="4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theme="4" tint="-0.499984740745262"/>
      </left>
      <right/>
      <top style="thin">
        <color theme="0"/>
      </top>
      <bottom style="thin">
        <color theme="0"/>
      </bottom>
      <diagonal/>
    </border>
    <border>
      <left/>
      <right style="hair">
        <color theme="4" tint="-0.499984740745262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hair">
        <color theme="4" tint="-0.499984740745262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4" tint="-0.499984740745262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hair">
        <color theme="4" tint="-0.499984740745262"/>
      </right>
      <top style="thin">
        <color theme="0"/>
      </top>
      <bottom/>
      <diagonal/>
    </border>
    <border>
      <left style="hair">
        <color theme="4" tint="-0.499984740745262"/>
      </left>
      <right style="thin">
        <color theme="0"/>
      </right>
      <top/>
      <bottom style="thin">
        <color theme="0"/>
      </bottom>
      <diagonal/>
    </border>
    <border>
      <left style="hair">
        <color theme="4" tint="-0.499984740745262"/>
      </left>
      <right/>
      <top style="hair">
        <color theme="4" tint="-0.499984740745262"/>
      </top>
      <bottom style="thin">
        <color theme="0"/>
      </bottom>
      <diagonal/>
    </border>
    <border>
      <left style="hair">
        <color theme="4" tint="-0.499984740745262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hair">
        <color theme="4" tint="-0.499984740745262"/>
      </left>
      <right/>
      <top style="thin">
        <color theme="0"/>
      </top>
      <bottom style="hair">
        <color theme="4" tint="-0.499984740745262"/>
      </bottom>
      <diagonal/>
    </border>
    <border>
      <left style="thin">
        <color theme="0"/>
      </left>
      <right/>
      <top style="thin">
        <color theme="0"/>
      </top>
      <bottom style="hair">
        <color theme="4" tint="-0.499984740745262"/>
      </bottom>
      <diagonal/>
    </border>
    <border>
      <left style="hair">
        <color theme="4" tint="-0.499984740745262"/>
      </left>
      <right style="hair">
        <color theme="4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4" tint="-0.499984740745262"/>
      </right>
      <top/>
      <bottom style="thin">
        <color theme="0"/>
      </bottom>
      <diagonal/>
    </border>
    <border>
      <left style="hair">
        <color theme="4" tint="-0.499984740745262"/>
      </left>
      <right/>
      <top style="thin">
        <color theme="0"/>
      </top>
      <bottom/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4" tint="-0.499984740745262"/>
      </top>
      <bottom style="thin">
        <color theme="0"/>
      </bottom>
      <diagonal/>
    </border>
    <border>
      <left style="hair">
        <color theme="4" tint="-0.499984740745262"/>
      </left>
      <right style="hair">
        <color theme="4" tint="-0.499984740745262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hair">
        <color theme="4" tint="-0.499984740745262"/>
      </bottom>
      <diagonal/>
    </border>
    <border>
      <left/>
      <right style="hair">
        <color theme="4" tint="-0.499984740745262"/>
      </right>
      <top style="thin">
        <color theme="0"/>
      </top>
      <bottom style="hair">
        <color theme="4" tint="-0.499984740745262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>
      <protection locked="0"/>
    </xf>
    <xf numFmtId="0" fontId="4" fillId="0" borderId="0">
      <protection locked="0"/>
    </xf>
    <xf numFmtId="164" fontId="1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56" fillId="0" borderId="0"/>
    <xf numFmtId="0" fontId="56" fillId="0" borderId="0"/>
    <xf numFmtId="43" fontId="1" fillId="0" borderId="0" applyFont="0" applyFill="0" applyBorder="0" applyAlignment="0" applyProtection="0"/>
  </cellStyleXfs>
  <cellXfs count="717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49" fontId="8" fillId="0" borderId="0" xfId="4" applyNumberFormat="1" applyFont="1" applyAlignment="1" applyProtection="1">
      <alignment vertical="top"/>
    </xf>
    <xf numFmtId="0" fontId="10" fillId="0" borderId="0" xfId="7" applyFont="1"/>
    <xf numFmtId="0" fontId="11" fillId="0" borderId="0" xfId="7" applyFont="1"/>
    <xf numFmtId="0" fontId="13" fillId="0" borderId="0" xfId="7" applyFont="1" applyAlignment="1">
      <alignment horizontal="left" vertical="top"/>
    </xf>
    <xf numFmtId="0" fontId="13" fillId="0" borderId="0" xfId="7" applyFont="1"/>
    <xf numFmtId="49" fontId="7" fillId="0" borderId="0" xfId="5" applyNumberFormat="1" applyFont="1" applyAlignment="1" applyProtection="1">
      <alignment horizontal="left" vertical="top"/>
    </xf>
    <xf numFmtId="0" fontId="22" fillId="8" borderId="2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1" fillId="7" borderId="2" xfId="0" applyFont="1" applyFill="1" applyBorder="1" applyAlignment="1" applyProtection="1">
      <alignment horizontal="left" vertical="center" indent="1"/>
      <protection locked="0"/>
    </xf>
    <xf numFmtId="49" fontId="17" fillId="3" borderId="2" xfId="5" applyNumberFormat="1" applyFont="1" applyFill="1" applyBorder="1" applyAlignment="1" applyProtection="1">
      <alignment horizontal="left" vertical="top"/>
    </xf>
    <xf numFmtId="49" fontId="17" fillId="3" borderId="2" xfId="5" applyNumberFormat="1" applyFont="1" applyFill="1" applyBorder="1" applyAlignment="1" applyProtection="1">
      <alignment horizontal="right" vertical="top"/>
    </xf>
    <xf numFmtId="49" fontId="15" fillId="0" borderId="2" xfId="5" applyNumberFormat="1" applyFont="1" applyBorder="1" applyAlignment="1" applyProtection="1">
      <alignment horizontal="right" vertical="top"/>
    </xf>
    <xf numFmtId="0" fontId="20" fillId="0" borderId="2" xfId="0" applyFont="1" applyBorder="1" applyAlignment="1">
      <alignment wrapText="1"/>
    </xf>
    <xf numFmtId="49" fontId="17" fillId="0" borderId="2" xfId="5" applyNumberFormat="1" applyFont="1" applyBorder="1" applyAlignment="1" applyProtection="1">
      <alignment horizontal="right" vertical="top" wrapText="1"/>
    </xf>
    <xf numFmtId="49" fontId="17" fillId="3" borderId="2" xfId="5" applyNumberFormat="1" applyFont="1" applyFill="1" applyBorder="1" applyAlignment="1" applyProtection="1">
      <alignment horizontal="left" vertical="top" wrapText="1"/>
    </xf>
    <xf numFmtId="49" fontId="15" fillId="0" borderId="2" xfId="5" applyNumberFormat="1" applyFont="1" applyBorder="1" applyAlignment="1" applyProtection="1">
      <alignment horizontal="right" vertical="top" wrapText="1"/>
    </xf>
    <xf numFmtId="49" fontId="17" fillId="3" borderId="2" xfId="5" applyNumberFormat="1" applyFont="1" applyFill="1" applyBorder="1" applyAlignment="1" applyProtection="1">
      <alignment horizontal="right" vertical="center"/>
    </xf>
    <xf numFmtId="49" fontId="17" fillId="6" borderId="2" xfId="5" applyNumberFormat="1" applyFont="1" applyFill="1" applyBorder="1" applyAlignment="1" applyProtection="1">
      <alignment horizontal="left" vertical="top" wrapText="1"/>
    </xf>
    <xf numFmtId="49" fontId="19" fillId="6" borderId="2" xfId="5" applyNumberFormat="1" applyFont="1" applyFill="1" applyBorder="1" applyAlignment="1" applyProtection="1">
      <alignment horizontal="left" vertical="top" wrapText="1"/>
    </xf>
    <xf numFmtId="49" fontId="17" fillId="0" borderId="2" xfId="5" applyNumberFormat="1" applyFont="1" applyBorder="1" applyAlignment="1" applyProtection="1">
      <alignment horizontal="right" vertical="center" wrapText="1"/>
    </xf>
    <xf numFmtId="49" fontId="15" fillId="0" borderId="2" xfId="5" applyNumberFormat="1" applyFont="1" applyBorder="1" applyAlignment="1" applyProtection="1">
      <alignment horizontal="right" vertical="center"/>
    </xf>
    <xf numFmtId="0" fontId="25" fillId="0" borderId="0" xfId="0" applyFont="1" applyAlignment="1">
      <alignment horizontal="left" vertical="top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49" fontId="28" fillId="0" borderId="0" xfId="4" applyNumberFormat="1" applyFont="1" applyAlignment="1" applyProtection="1">
      <alignment vertical="top"/>
    </xf>
    <xf numFmtId="49" fontId="26" fillId="0" borderId="0" xfId="4" applyNumberFormat="1" applyFont="1" applyAlignment="1" applyProtection="1">
      <alignment horizontal="right" vertical="top"/>
    </xf>
    <xf numFmtId="49" fontId="29" fillId="0" borderId="0" xfId="4" applyNumberFormat="1" applyFont="1" applyAlignment="1" applyProtection="1">
      <alignment horizontal="left" vertical="top"/>
    </xf>
    <xf numFmtId="49" fontId="29" fillId="0" borderId="0" xfId="4" applyNumberFormat="1" applyFont="1" applyAlignment="1" applyProtection="1">
      <alignment horizontal="center" vertical="top"/>
    </xf>
    <xf numFmtId="49" fontId="15" fillId="0" borderId="0" xfId="5" applyNumberFormat="1" applyFont="1" applyBorder="1" applyAlignment="1" applyProtection="1">
      <alignment horizontal="left" vertical="center" wrapText="1"/>
    </xf>
    <xf numFmtId="49" fontId="17" fillId="6" borderId="5" xfId="5" applyNumberFormat="1" applyFont="1" applyFill="1" applyBorder="1" applyAlignment="1" applyProtection="1">
      <alignment horizontal="left" vertical="top" wrapText="1"/>
    </xf>
    <xf numFmtId="49" fontId="15" fillId="0" borderId="0" xfId="5" applyNumberFormat="1" applyFont="1" applyBorder="1" applyAlignment="1" applyProtection="1">
      <alignment horizontal="right" vertical="center"/>
    </xf>
    <xf numFmtId="49" fontId="15" fillId="0" borderId="0" xfId="5" applyNumberFormat="1" applyFont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1" fillId="0" borderId="0" xfId="8"/>
    <xf numFmtId="49" fontId="1" fillId="0" borderId="0" xfId="8" applyNumberFormat="1"/>
    <xf numFmtId="0" fontId="36" fillId="0" borderId="0" xfId="8" applyFont="1" applyAlignment="1">
      <alignment horizontal="left" vertical="center" wrapText="1"/>
    </xf>
    <xf numFmtId="49" fontId="17" fillId="6" borderId="2" xfId="5" applyNumberFormat="1" applyFont="1" applyFill="1" applyBorder="1" applyAlignment="1" applyProtection="1">
      <alignment horizontal="left" vertical="center" wrapText="1"/>
    </xf>
    <xf numFmtId="0" fontId="12" fillId="11" borderId="0" xfId="7" applyFont="1" applyFill="1" applyBorder="1" applyAlignment="1">
      <alignment horizontal="left" vertical="center" indent="1"/>
    </xf>
    <xf numFmtId="49" fontId="17" fillId="3" borderId="2" xfId="5" applyNumberFormat="1" applyFont="1" applyFill="1" applyBorder="1" applyAlignment="1" applyProtection="1">
      <alignment horizontal="left" vertical="center" wrapText="1"/>
    </xf>
    <xf numFmtId="0" fontId="22" fillId="8" borderId="3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9" fontId="17" fillId="3" borderId="2" xfId="2" applyFont="1" applyFill="1" applyBorder="1" applyAlignment="1" applyProtection="1">
      <alignment horizontal="righ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1" fillId="0" borderId="12" xfId="8" applyBorder="1"/>
    <xf numFmtId="0" fontId="1" fillId="0" borderId="0" xfId="8" applyBorder="1"/>
    <xf numFmtId="0" fontId="1" fillId="0" borderId="13" xfId="8" applyBorder="1"/>
    <xf numFmtId="3" fontId="17" fillId="3" borderId="2" xfId="5" applyNumberFormat="1" applyFont="1" applyFill="1" applyBorder="1" applyAlignment="1" applyProtection="1">
      <alignment horizontal="right" vertical="center"/>
    </xf>
    <xf numFmtId="3" fontId="17" fillId="3" borderId="3" xfId="5" applyNumberFormat="1" applyFont="1" applyFill="1" applyBorder="1" applyAlignment="1" applyProtection="1">
      <alignment horizontal="right" vertical="center"/>
    </xf>
    <xf numFmtId="3" fontId="17" fillId="3" borderId="4" xfId="5" applyNumberFormat="1" applyFont="1" applyFill="1" applyBorder="1" applyAlignment="1" applyProtection="1">
      <alignment horizontal="right" vertical="center"/>
    </xf>
    <xf numFmtId="0" fontId="21" fillId="7" borderId="2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right"/>
    </xf>
    <xf numFmtId="0" fontId="27" fillId="0" borderId="0" xfId="0" applyFont="1" applyAlignment="1" applyProtection="1">
      <alignment horizontal="left"/>
    </xf>
    <xf numFmtId="0" fontId="22" fillId="8" borderId="2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8" borderId="2" xfId="0" applyFont="1" applyFill="1" applyBorder="1" applyAlignment="1" applyProtection="1">
      <alignment horizontal="center" vertical="center"/>
    </xf>
    <xf numFmtId="0" fontId="23" fillId="4" borderId="10" xfId="0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horizontal="center" vertical="center"/>
    </xf>
    <xf numFmtId="0" fontId="23" fillId="4" borderId="11" xfId="0" applyFont="1" applyFill="1" applyBorder="1" applyAlignment="1" applyProtection="1">
      <alignment horizontal="center" vertical="center"/>
    </xf>
    <xf numFmtId="0" fontId="35" fillId="0" borderId="0" xfId="8" applyFont="1" applyAlignment="1" applyProtection="1">
      <alignment vertical="center"/>
      <protection locked="0"/>
    </xf>
    <xf numFmtId="0" fontId="1" fillId="0" borderId="0" xfId="8" applyProtection="1">
      <protection locked="0"/>
    </xf>
    <xf numFmtId="49" fontId="17" fillId="6" borderId="2" xfId="5" applyNumberFormat="1" applyFont="1" applyFill="1" applyBorder="1" applyAlignment="1" applyProtection="1">
      <alignment horizontal="left" vertical="top" wrapText="1" indent="3"/>
      <protection locked="0"/>
    </xf>
    <xf numFmtId="49" fontId="17" fillId="6" borderId="2" xfId="5" applyNumberFormat="1" applyFont="1" applyFill="1" applyBorder="1" applyAlignment="1" applyProtection="1">
      <alignment horizontal="left" vertical="top" wrapText="1"/>
      <protection locked="0"/>
    </xf>
    <xf numFmtId="49" fontId="1" fillId="0" borderId="0" xfId="8" applyNumberFormat="1" applyProtection="1">
      <protection locked="0"/>
    </xf>
    <xf numFmtId="166" fontId="33" fillId="0" borderId="0" xfId="2" applyNumberFormat="1" applyFont="1" applyAlignment="1">
      <alignment horizontal="center"/>
    </xf>
    <xf numFmtId="3" fontId="36" fillId="0" borderId="0" xfId="8" applyNumberFormat="1" applyFont="1" applyAlignment="1">
      <alignment horizontal="center" vertical="center" wrapText="1"/>
    </xf>
    <xf numFmtId="0" fontId="44" fillId="8" borderId="3" xfId="0" applyFont="1" applyFill="1" applyBorder="1" applyAlignment="1">
      <alignment horizontal="center" vertical="center"/>
    </xf>
    <xf numFmtId="3" fontId="17" fillId="6" borderId="2" xfId="5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49" fontId="19" fillId="6" borderId="2" xfId="5" applyNumberFormat="1" applyFont="1" applyFill="1" applyBorder="1" applyAlignment="1" applyProtection="1">
      <alignment horizontal="left" vertical="top" wrapText="1"/>
      <protection locked="0"/>
    </xf>
    <xf numFmtId="0" fontId="25" fillId="0" borderId="0" xfId="0" applyFont="1" applyAlignment="1" applyProtection="1">
      <alignment horizontal="left" vertical="top"/>
    </xf>
    <xf numFmtId="0" fontId="20" fillId="0" borderId="2" xfId="0" applyFont="1" applyBorder="1" applyAlignment="1" applyProtection="1">
      <alignment wrapText="1"/>
    </xf>
    <xf numFmtId="0" fontId="20" fillId="0" borderId="2" xfId="0" applyFont="1" applyBorder="1" applyProtection="1"/>
    <xf numFmtId="0" fontId="12" fillId="4" borderId="1" xfId="7" applyFont="1" applyFill="1" applyBorder="1" applyAlignment="1">
      <alignment horizontal="left" vertical="center" indent="1"/>
    </xf>
    <xf numFmtId="0" fontId="13" fillId="0" borderId="0" xfId="7" applyFont="1" applyBorder="1" applyAlignment="1">
      <alignment horizontal="left" vertical="top" wrapText="1"/>
    </xf>
    <xf numFmtId="0" fontId="20" fillId="0" borderId="0" xfId="0" applyFont="1" applyProtection="1"/>
    <xf numFmtId="49" fontId="1" fillId="0" borderId="0" xfId="8" applyNumberFormat="1" applyProtection="1"/>
    <xf numFmtId="0" fontId="0" fillId="0" borderId="0" xfId="0" applyProtection="1">
      <protection locked="0"/>
    </xf>
    <xf numFmtId="0" fontId="1" fillId="0" borderId="0" xfId="8" applyProtection="1"/>
    <xf numFmtId="3" fontId="36" fillId="0" borderId="0" xfId="8" applyNumberFormat="1" applyFont="1" applyAlignment="1" applyProtection="1">
      <alignment horizontal="right" vertical="center" wrapText="1"/>
    </xf>
    <xf numFmtId="0" fontId="22" fillId="8" borderId="3" xfId="0" applyFont="1" applyFill="1" applyBorder="1" applyAlignment="1" applyProtection="1">
      <alignment horizontal="center" vertical="center"/>
    </xf>
    <xf numFmtId="0" fontId="23" fillId="8" borderId="3" xfId="0" applyFont="1" applyFill="1" applyBorder="1" applyAlignment="1" applyProtection="1">
      <alignment horizontal="center" vertical="center"/>
    </xf>
    <xf numFmtId="0" fontId="23" fillId="8" borderId="4" xfId="0" applyFont="1" applyFill="1" applyBorder="1" applyAlignment="1" applyProtection="1">
      <alignment horizontal="center" vertical="center"/>
    </xf>
    <xf numFmtId="49" fontId="17" fillId="6" borderId="2" xfId="5" applyNumberFormat="1" applyFont="1" applyFill="1" applyBorder="1" applyAlignment="1" applyProtection="1">
      <alignment horizontal="left" vertical="top" wrapText="1" indent="3"/>
    </xf>
    <xf numFmtId="3" fontId="18" fillId="6" borderId="2" xfId="6" applyNumberFormat="1" applyFont="1" applyFill="1" applyBorder="1" applyAlignment="1" applyProtection="1">
      <alignment vertical="center"/>
    </xf>
    <xf numFmtId="3" fontId="18" fillId="6" borderId="3" xfId="6" applyNumberFormat="1" applyFont="1" applyFill="1" applyBorder="1" applyAlignment="1" applyProtection="1">
      <alignment vertical="center"/>
    </xf>
    <xf numFmtId="3" fontId="18" fillId="6" borderId="10" xfId="6" applyNumberFormat="1" applyFont="1" applyFill="1" applyBorder="1" applyAlignment="1" applyProtection="1">
      <alignment vertical="center"/>
    </xf>
    <xf numFmtId="3" fontId="18" fillId="6" borderId="11" xfId="6" applyNumberFormat="1" applyFont="1" applyFill="1" applyBorder="1" applyAlignment="1" applyProtection="1">
      <alignment vertical="center"/>
    </xf>
    <xf numFmtId="3" fontId="18" fillId="6" borderId="4" xfId="6" applyNumberFormat="1" applyFont="1" applyFill="1" applyBorder="1" applyAlignment="1" applyProtection="1">
      <alignment vertical="center"/>
    </xf>
    <xf numFmtId="3" fontId="18" fillId="6" borderId="2" xfId="2" applyNumberFormat="1" applyFont="1" applyFill="1" applyBorder="1" applyAlignment="1" applyProtection="1">
      <alignment vertical="center"/>
    </xf>
    <xf numFmtId="0" fontId="38" fillId="0" borderId="0" xfId="8" applyFont="1" applyAlignment="1" applyProtection="1">
      <alignment horizontal="left" vertical="center" wrapText="1" indent="4"/>
    </xf>
    <xf numFmtId="3" fontId="38" fillId="0" borderId="0" xfId="8" applyNumberFormat="1" applyFont="1" applyAlignment="1" applyProtection="1">
      <alignment horizontal="left" vertical="center" wrapText="1" indent="1"/>
    </xf>
    <xf numFmtId="3" fontId="38" fillId="0" borderId="0" xfId="8" applyNumberFormat="1" applyFont="1" applyBorder="1" applyAlignment="1" applyProtection="1">
      <alignment horizontal="left" vertical="center" wrapText="1" indent="1"/>
    </xf>
    <xf numFmtId="3" fontId="38" fillId="0" borderId="0" xfId="2" applyNumberFormat="1" applyFont="1" applyAlignment="1" applyProtection="1">
      <alignment horizontal="left" vertical="center" wrapText="1" indent="1"/>
    </xf>
    <xf numFmtId="0" fontId="38" fillId="0" borderId="0" xfId="8" applyFont="1" applyAlignment="1" applyProtection="1">
      <alignment horizontal="left" vertical="center" wrapText="1" indent="1"/>
    </xf>
    <xf numFmtId="49" fontId="17" fillId="10" borderId="2" xfId="5" applyNumberFormat="1" applyFont="1" applyFill="1" applyBorder="1" applyAlignment="1" applyProtection="1">
      <alignment horizontal="left" vertical="center" wrapText="1" indent="3"/>
    </xf>
    <xf numFmtId="3" fontId="18" fillId="10" borderId="2" xfId="6" applyNumberFormat="1" applyFont="1" applyFill="1" applyBorder="1" applyAlignment="1" applyProtection="1">
      <alignment vertical="center"/>
    </xf>
    <xf numFmtId="3" fontId="18" fillId="10" borderId="4" xfId="6" applyNumberFormat="1" applyFont="1" applyFill="1" applyBorder="1" applyAlignment="1" applyProtection="1">
      <alignment vertical="center"/>
    </xf>
    <xf numFmtId="0" fontId="38" fillId="0" borderId="0" xfId="8" applyFont="1" applyAlignment="1" applyProtection="1">
      <alignment horizontal="left" vertical="center" indent="2"/>
    </xf>
    <xf numFmtId="3" fontId="38" fillId="0" borderId="0" xfId="8" applyNumberFormat="1" applyFont="1" applyAlignment="1" applyProtection="1">
      <alignment horizontal="left" vertical="center" indent="2"/>
    </xf>
    <xf numFmtId="3" fontId="38" fillId="0" borderId="12" xfId="8" applyNumberFormat="1" applyFont="1" applyBorder="1" applyAlignment="1" applyProtection="1">
      <alignment horizontal="left" vertical="center" indent="2"/>
    </xf>
    <xf numFmtId="3" fontId="38" fillId="0" borderId="0" xfId="8" applyNumberFormat="1" applyFont="1" applyBorder="1" applyAlignment="1" applyProtection="1">
      <alignment horizontal="left" vertical="center" indent="2"/>
    </xf>
    <xf numFmtId="3" fontId="38" fillId="0" borderId="13" xfId="8" applyNumberFormat="1" applyFont="1" applyBorder="1" applyAlignment="1" applyProtection="1">
      <alignment horizontal="left" vertical="center" indent="2"/>
    </xf>
    <xf numFmtId="3" fontId="38" fillId="0" borderId="0" xfId="2" applyNumberFormat="1" applyFont="1" applyAlignment="1" applyProtection="1">
      <alignment horizontal="left" vertical="center" indent="2"/>
    </xf>
    <xf numFmtId="0" fontId="1" fillId="0" borderId="12" xfId="8" applyBorder="1" applyProtection="1"/>
    <xf numFmtId="0" fontId="1" fillId="0" borderId="0" xfId="8" applyBorder="1" applyProtection="1"/>
    <xf numFmtId="0" fontId="1" fillId="0" borderId="13" xfId="8" applyBorder="1" applyProtection="1"/>
    <xf numFmtId="9" fontId="21" fillId="7" borderId="2" xfId="2" applyFont="1" applyFill="1" applyBorder="1" applyAlignment="1" applyProtection="1">
      <alignment horizontal="right" vertical="center" indent="1"/>
    </xf>
    <xf numFmtId="9" fontId="21" fillId="7" borderId="3" xfId="2" applyFont="1" applyFill="1" applyBorder="1" applyAlignment="1" applyProtection="1">
      <alignment horizontal="right" vertical="center" indent="1"/>
    </xf>
    <xf numFmtId="9" fontId="21" fillId="7" borderId="14" xfId="2" applyFont="1" applyFill="1" applyBorder="1" applyAlignment="1" applyProtection="1">
      <alignment horizontal="right" vertical="center" indent="1"/>
    </xf>
    <xf numFmtId="9" fontId="21" fillId="7" borderId="15" xfId="2" applyFont="1" applyFill="1" applyBorder="1" applyAlignment="1" applyProtection="1">
      <alignment horizontal="right" vertical="center" indent="1"/>
    </xf>
    <xf numFmtId="9" fontId="21" fillId="7" borderId="16" xfId="2" applyFont="1" applyFill="1" applyBorder="1" applyAlignment="1" applyProtection="1">
      <alignment horizontal="right" vertical="center" indent="1"/>
    </xf>
    <xf numFmtId="2" fontId="21" fillId="7" borderId="4" xfId="2" applyNumberFormat="1" applyFont="1" applyFill="1" applyBorder="1" applyAlignment="1" applyProtection="1">
      <alignment horizontal="right" vertical="center" indent="1"/>
    </xf>
    <xf numFmtId="0" fontId="32" fillId="0" borderId="0" xfId="8" applyFont="1" applyAlignment="1" applyProtection="1">
      <alignment horizontal="center"/>
    </xf>
    <xf numFmtId="0" fontId="41" fillId="0" borderId="0" xfId="8" applyFont="1" applyProtection="1"/>
    <xf numFmtId="0" fontId="43" fillId="0" borderId="0" xfId="8" applyFont="1" applyProtection="1"/>
    <xf numFmtId="0" fontId="40" fillId="0" borderId="0" xfId="8" applyFont="1" applyProtection="1"/>
    <xf numFmtId="9" fontId="18" fillId="10" borderId="2" xfId="2" applyFont="1" applyFill="1" applyBorder="1" applyAlignment="1" applyProtection="1">
      <alignment vertical="center"/>
    </xf>
    <xf numFmtId="3" fontId="36" fillId="0" borderId="0" xfId="8" applyNumberFormat="1" applyFont="1" applyAlignment="1" applyProtection="1">
      <alignment horizontal="right" vertical="center" wrapText="1"/>
      <protection locked="0"/>
    </xf>
    <xf numFmtId="0" fontId="3" fillId="0" borderId="0" xfId="8" applyFont="1" applyAlignment="1" applyProtection="1">
      <alignment horizontal="center"/>
    </xf>
    <xf numFmtId="3" fontId="38" fillId="0" borderId="0" xfId="8" applyNumberFormat="1" applyFont="1" applyAlignment="1" applyProtection="1">
      <alignment horizontal="right" vertical="center" wrapText="1" indent="1"/>
    </xf>
    <xf numFmtId="3" fontId="38" fillId="0" borderId="0" xfId="8" applyNumberFormat="1" applyFont="1" applyBorder="1" applyAlignment="1" applyProtection="1">
      <alignment horizontal="right" vertical="center" wrapText="1"/>
    </xf>
    <xf numFmtId="3" fontId="38" fillId="0" borderId="12" xfId="8" applyNumberFormat="1" applyFont="1" applyBorder="1" applyAlignment="1" applyProtection="1">
      <alignment horizontal="right" vertical="center" wrapText="1"/>
    </xf>
    <xf numFmtId="3" fontId="38" fillId="0" borderId="13" xfId="8" applyNumberFormat="1" applyFont="1" applyBorder="1" applyAlignment="1" applyProtection="1">
      <alignment horizontal="right" vertical="center" wrapText="1"/>
    </xf>
    <xf numFmtId="9" fontId="38" fillId="0" borderId="0" xfId="2" applyFont="1" applyBorder="1" applyAlignment="1" applyProtection="1">
      <alignment horizontal="right" vertical="center" wrapText="1"/>
    </xf>
    <xf numFmtId="3" fontId="21" fillId="7" borderId="2" xfId="0" applyNumberFormat="1" applyFont="1" applyFill="1" applyBorder="1" applyAlignment="1" applyProtection="1">
      <alignment horizontal="right" vertical="center" indent="1"/>
    </xf>
    <xf numFmtId="3" fontId="21" fillId="7" borderId="4" xfId="2" applyNumberFormat="1" applyFont="1" applyFill="1" applyBorder="1" applyAlignment="1" applyProtection="1">
      <alignment horizontal="right" vertical="center" indent="1"/>
    </xf>
    <xf numFmtId="0" fontId="40" fillId="0" borderId="0" xfId="8" applyFont="1" applyAlignment="1" applyProtection="1">
      <alignment wrapText="1"/>
      <protection locked="0"/>
    </xf>
    <xf numFmtId="3" fontId="18" fillId="12" borderId="2" xfId="6" applyNumberFormat="1" applyFont="1" applyFill="1" applyBorder="1" applyAlignment="1" applyProtection="1">
      <alignment vertical="center"/>
      <protection locked="0"/>
    </xf>
    <xf numFmtId="3" fontId="18" fillId="12" borderId="3" xfId="6" applyNumberFormat="1" applyFont="1" applyFill="1" applyBorder="1" applyAlignment="1" applyProtection="1">
      <alignment vertical="center"/>
      <protection locked="0"/>
    </xf>
    <xf numFmtId="3" fontId="18" fillId="12" borderId="10" xfId="6" applyNumberFormat="1" applyFont="1" applyFill="1" applyBorder="1" applyAlignment="1" applyProtection="1">
      <alignment vertical="center"/>
      <protection locked="0"/>
    </xf>
    <xf numFmtId="3" fontId="18" fillId="12" borderId="11" xfId="6" applyNumberFormat="1" applyFont="1" applyFill="1" applyBorder="1" applyAlignment="1" applyProtection="1">
      <alignment vertical="center"/>
      <protection locked="0"/>
    </xf>
    <xf numFmtId="3" fontId="40" fillId="0" borderId="0" xfId="8" applyNumberFormat="1" applyFont="1" applyAlignment="1" applyProtection="1">
      <alignment horizontal="right"/>
    </xf>
    <xf numFmtId="3" fontId="1" fillId="0" borderId="0" xfId="8" applyNumberFormat="1" applyBorder="1" applyAlignment="1" applyProtection="1">
      <alignment horizontal="right"/>
    </xf>
    <xf numFmtId="3" fontId="1" fillId="0" borderId="0" xfId="8" applyNumberFormat="1" applyAlignment="1" applyProtection="1">
      <alignment horizontal="right"/>
    </xf>
    <xf numFmtId="9" fontId="1" fillId="0" borderId="0" xfId="2" applyAlignment="1" applyProtection="1">
      <alignment horizontal="right"/>
    </xf>
    <xf numFmtId="0" fontId="6" fillId="0" borderId="0" xfId="0" applyFont="1" applyBorder="1" applyAlignment="1" applyProtection="1">
      <alignment vertical="top"/>
    </xf>
    <xf numFmtId="10" fontId="18" fillId="12" borderId="2" xfId="2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8" fillId="1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6" fontId="47" fillId="0" borderId="0" xfId="2" applyNumberFormat="1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21" fillId="7" borderId="3" xfId="0" applyFont="1" applyFill="1" applyBorder="1" applyAlignment="1" applyProtection="1">
      <alignment horizontal="left" vertical="center" indent="1"/>
      <protection locked="0"/>
    </xf>
    <xf numFmtId="0" fontId="20" fillId="0" borderId="12" xfId="0" applyFont="1" applyBorder="1"/>
    <xf numFmtId="0" fontId="20" fillId="0" borderId="0" xfId="0" applyFont="1" applyBorder="1"/>
    <xf numFmtId="0" fontId="20" fillId="0" borderId="13" xfId="0" applyFont="1" applyBorder="1"/>
    <xf numFmtId="0" fontId="21" fillId="7" borderId="10" xfId="0" applyFont="1" applyFill="1" applyBorder="1" applyAlignment="1" applyProtection="1">
      <alignment horizontal="left" vertical="center" indent="1"/>
      <protection locked="0"/>
    </xf>
    <xf numFmtId="0" fontId="21" fillId="7" borderId="11" xfId="0" applyFont="1" applyFill="1" applyBorder="1" applyAlignment="1" applyProtection="1">
      <alignment horizontal="left" vertical="center" indent="1"/>
      <protection locked="0"/>
    </xf>
    <xf numFmtId="49" fontId="15" fillId="0" borderId="12" xfId="5" applyNumberFormat="1" applyFont="1" applyBorder="1" applyAlignment="1" applyProtection="1">
      <alignment horizontal="right" vertical="center"/>
    </xf>
    <xf numFmtId="49" fontId="15" fillId="0" borderId="13" xfId="5" applyNumberFormat="1" applyFont="1" applyBorder="1" applyAlignment="1" applyProtection="1">
      <alignment horizontal="right" vertical="center"/>
    </xf>
    <xf numFmtId="49" fontId="15" fillId="0" borderId="12" xfId="5" applyNumberFormat="1" applyFont="1" applyBorder="1" applyAlignment="1" applyProtection="1">
      <alignment horizontal="left" vertical="center"/>
    </xf>
    <xf numFmtId="49" fontId="15" fillId="0" borderId="13" xfId="5" applyNumberFormat="1" applyFont="1" applyBorder="1" applyAlignment="1" applyProtection="1">
      <alignment horizontal="left" vertical="center"/>
    </xf>
    <xf numFmtId="49" fontId="17" fillId="3" borderId="3" xfId="5" applyNumberFormat="1" applyFont="1" applyFill="1" applyBorder="1" applyAlignment="1" applyProtection="1">
      <alignment horizontal="right" vertical="top"/>
    </xf>
    <xf numFmtId="49" fontId="17" fillId="3" borderId="3" xfId="5" applyNumberFormat="1" applyFont="1" applyFill="1" applyBorder="1" applyAlignment="1" applyProtection="1">
      <alignment horizontal="right" vertical="center"/>
    </xf>
    <xf numFmtId="0" fontId="21" fillId="7" borderId="3" xfId="0" applyFont="1" applyFill="1" applyBorder="1" applyAlignment="1" applyProtection="1">
      <alignment horizontal="left" vertical="center"/>
    </xf>
    <xf numFmtId="0" fontId="0" fillId="0" borderId="0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/>
    <xf numFmtId="0" fontId="0" fillId="0" borderId="13" xfId="0" applyBorder="1" applyProtection="1"/>
    <xf numFmtId="0" fontId="16" fillId="10" borderId="0" xfId="0" applyFont="1" applyFill="1" applyAlignment="1">
      <alignment horizontal="left" vertical="center"/>
    </xf>
    <xf numFmtId="166" fontId="17" fillId="0" borderId="0" xfId="2" applyNumberFormat="1" applyFont="1" applyAlignment="1">
      <alignment horizontal="center" vertical="center"/>
    </xf>
    <xf numFmtId="0" fontId="18" fillId="6" borderId="0" xfId="0" applyFont="1" applyFill="1" applyAlignment="1">
      <alignment horizontal="left" vertical="center"/>
    </xf>
    <xf numFmtId="166" fontId="18" fillId="6" borderId="0" xfId="0" applyNumberFormat="1" applyFont="1" applyFill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left" vertical="center"/>
    </xf>
    <xf numFmtId="3" fontId="17" fillId="0" borderId="0" xfId="1" applyNumberFormat="1" applyFont="1" applyAlignment="1">
      <alignment horizontal="center" vertical="center"/>
    </xf>
    <xf numFmtId="3" fontId="21" fillId="7" borderId="3" xfId="0" applyNumberFormat="1" applyFont="1" applyFill="1" applyBorder="1" applyAlignment="1" applyProtection="1">
      <alignment horizontal="right" vertical="center" indent="1"/>
    </xf>
    <xf numFmtId="3" fontId="18" fillId="6" borderId="17" xfId="6" applyNumberFormat="1" applyFont="1" applyFill="1" applyBorder="1" applyAlignment="1" applyProtection="1">
      <alignment vertical="center"/>
    </xf>
    <xf numFmtId="3" fontId="18" fillId="6" borderId="19" xfId="6" applyNumberFormat="1" applyFont="1" applyFill="1" applyBorder="1" applyAlignment="1" applyProtection="1">
      <alignment vertical="center"/>
    </xf>
    <xf numFmtId="0" fontId="11" fillId="0" borderId="0" xfId="7" applyFont="1" applyBorder="1"/>
    <xf numFmtId="0" fontId="15" fillId="6" borderId="20" xfId="7" applyFont="1" applyFill="1" applyBorder="1" applyAlignment="1">
      <alignment horizontal="center" vertical="center"/>
    </xf>
    <xf numFmtId="0" fontId="15" fillId="6" borderId="27" xfId="7" applyFont="1" applyFill="1" applyBorder="1" applyAlignment="1">
      <alignment wrapText="1"/>
    </xf>
    <xf numFmtId="0" fontId="15" fillId="6" borderId="27" xfId="7" applyFont="1" applyFill="1" applyBorder="1"/>
    <xf numFmtId="0" fontId="17" fillId="6" borderId="27" xfId="7" applyFont="1" applyFill="1" applyBorder="1" applyAlignment="1">
      <alignment horizontal="left" vertical="center" indent="3"/>
    </xf>
    <xf numFmtId="0" fontId="17" fillId="6" borderId="28" xfId="7" applyFont="1" applyFill="1" applyBorder="1" applyAlignment="1">
      <alignment horizontal="left" vertical="center" indent="3"/>
    </xf>
    <xf numFmtId="2" fontId="17" fillId="6" borderId="2" xfId="5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horizontal="center" vertical="center"/>
    </xf>
    <xf numFmtId="166" fontId="51" fillId="0" borderId="0" xfId="2" applyNumberFormat="1" applyFont="1" applyAlignment="1">
      <alignment horizontal="center" vertical="center"/>
    </xf>
    <xf numFmtId="0" fontId="53" fillId="10" borderId="0" xfId="0" applyFont="1" applyFill="1" applyAlignment="1">
      <alignment horizontal="center" vertical="center"/>
    </xf>
    <xf numFmtId="2" fontId="51" fillId="0" borderId="0" xfId="0" applyNumberFormat="1" applyFont="1" applyAlignment="1">
      <alignment horizontal="center" vertical="center"/>
    </xf>
    <xf numFmtId="0" fontId="15" fillId="14" borderId="24" xfId="7" applyFont="1" applyFill="1" applyBorder="1" applyAlignment="1">
      <alignment horizontal="center" vertical="center"/>
    </xf>
    <xf numFmtId="0" fontId="15" fillId="14" borderId="25" xfId="7" applyFont="1" applyFill="1" applyBorder="1" applyAlignment="1">
      <alignment horizontal="center" vertical="center"/>
    </xf>
    <xf numFmtId="0" fontId="15" fillId="14" borderId="26" xfId="7" applyFont="1" applyFill="1" applyBorder="1" applyAlignment="1">
      <alignment horizontal="center" vertical="center"/>
    </xf>
    <xf numFmtId="0" fontId="17" fillId="14" borderId="0" xfId="7" applyFont="1" applyFill="1" applyBorder="1" applyAlignment="1">
      <alignment vertical="center"/>
    </xf>
    <xf numFmtId="0" fontId="17" fillId="14" borderId="21" xfId="7" applyFont="1" applyFill="1" applyBorder="1" applyAlignment="1">
      <alignment vertical="center"/>
    </xf>
    <xf numFmtId="0" fontId="12" fillId="11" borderId="32" xfId="7" applyFont="1" applyFill="1" applyBorder="1" applyAlignment="1">
      <alignment horizontal="left" vertical="center" indent="1"/>
    </xf>
    <xf numFmtId="0" fontId="12" fillId="11" borderId="33" xfId="7" applyFont="1" applyFill="1" applyBorder="1" applyAlignment="1">
      <alignment horizontal="left" vertical="center" indent="1"/>
    </xf>
    <xf numFmtId="0" fontId="13" fillId="0" borderId="32" xfId="7" applyFont="1" applyBorder="1" applyAlignment="1">
      <alignment horizontal="left" vertical="center" indent="1"/>
    </xf>
    <xf numFmtId="0" fontId="13" fillId="0" borderId="33" xfId="7" applyFont="1" applyBorder="1" applyAlignment="1">
      <alignment horizontal="left" vertical="center" indent="1"/>
    </xf>
    <xf numFmtId="0" fontId="13" fillId="0" borderId="32" xfId="7" applyFont="1" applyBorder="1" applyAlignment="1">
      <alignment horizontal="right" vertical="center" indent="1"/>
    </xf>
    <xf numFmtId="0" fontId="13" fillId="0" borderId="0" xfId="7" applyFont="1" applyBorder="1" applyAlignment="1">
      <alignment horizontal="left" vertical="center" indent="1"/>
    </xf>
    <xf numFmtId="0" fontId="13" fillId="9" borderId="0" xfId="7" applyFont="1" applyFill="1" applyBorder="1" applyAlignment="1">
      <alignment horizontal="left" vertical="center"/>
    </xf>
    <xf numFmtId="0" fontId="13" fillId="0" borderId="0" xfId="7" applyFont="1" applyBorder="1" applyAlignment="1">
      <alignment horizontal="left" vertical="center"/>
    </xf>
    <xf numFmtId="0" fontId="11" fillId="0" borderId="33" xfId="7" applyFont="1" applyBorder="1"/>
    <xf numFmtId="0" fontId="11" fillId="0" borderId="32" xfId="7" applyFont="1" applyBorder="1"/>
    <xf numFmtId="0" fontId="15" fillId="0" borderId="0" xfId="7" applyFont="1" applyBorder="1"/>
    <xf numFmtId="0" fontId="51" fillId="0" borderId="0" xfId="7" applyFont="1" applyBorder="1" applyAlignment="1">
      <alignment horizontal="left" indent="1"/>
    </xf>
    <xf numFmtId="9" fontId="11" fillId="0" borderId="0" xfId="2" applyFont="1" applyBorder="1"/>
    <xf numFmtId="0" fontId="13" fillId="0" borderId="33" xfId="7" applyFont="1" applyBorder="1" applyAlignment="1">
      <alignment horizontal="left" vertical="top" wrapText="1"/>
    </xf>
    <xf numFmtId="0" fontId="12" fillId="4" borderId="34" xfId="7" applyFont="1" applyFill="1" applyBorder="1" applyAlignment="1">
      <alignment horizontal="left" vertical="center" indent="1"/>
    </xf>
    <xf numFmtId="0" fontId="12" fillId="4" borderId="35" xfId="7" applyFont="1" applyFill="1" applyBorder="1" applyAlignment="1">
      <alignment horizontal="left" vertical="center" indent="1"/>
    </xf>
    <xf numFmtId="0" fontId="10" fillId="0" borderId="32" xfId="7" applyFont="1" applyBorder="1"/>
    <xf numFmtId="0" fontId="10" fillId="0" borderId="0" xfId="7" applyFont="1" applyBorder="1"/>
    <xf numFmtId="0" fontId="10" fillId="0" borderId="33" xfId="7" applyFont="1" applyBorder="1"/>
    <xf numFmtId="0" fontId="10" fillId="0" borderId="36" xfId="7" applyFont="1" applyBorder="1"/>
    <xf numFmtId="0" fontId="10" fillId="0" borderId="37" xfId="7" applyFont="1" applyBorder="1"/>
    <xf numFmtId="0" fontId="10" fillId="0" borderId="38" xfId="7" applyFont="1" applyBorder="1"/>
    <xf numFmtId="0" fontId="11" fillId="0" borderId="0" xfId="7" applyFont="1" applyProtection="1">
      <protection locked="0"/>
    </xf>
    <xf numFmtId="0" fontId="11" fillId="0" borderId="0" xfId="7" applyFont="1" applyAlignment="1" applyProtection="1">
      <alignment horizontal="left" vertical="top"/>
      <protection locked="0"/>
    </xf>
    <xf numFmtId="0" fontId="13" fillId="0" borderId="32" xfId="7" applyFont="1" applyBorder="1" applyAlignment="1" applyProtection="1">
      <alignment horizontal="left" vertical="center" indent="1"/>
      <protection locked="0"/>
    </xf>
    <xf numFmtId="0" fontId="13" fillId="0" borderId="0" xfId="7" applyFont="1" applyBorder="1" applyAlignment="1" applyProtection="1">
      <alignment horizontal="left" vertical="center" indent="1"/>
      <protection locked="0"/>
    </xf>
    <xf numFmtId="0" fontId="13" fillId="0" borderId="33" xfId="7" applyFont="1" applyBorder="1" applyAlignment="1" applyProtection="1">
      <alignment horizontal="left" vertical="center" indent="1"/>
      <protection locked="0"/>
    </xf>
    <xf numFmtId="0" fontId="10" fillId="0" borderId="0" xfId="7" applyFont="1" applyProtection="1">
      <protection locked="0"/>
    </xf>
    <xf numFmtId="0" fontId="10" fillId="0" borderId="32" xfId="7" applyFont="1" applyBorder="1" applyProtection="1">
      <protection locked="0"/>
    </xf>
    <xf numFmtId="0" fontId="10" fillId="0" borderId="0" xfId="7" applyFont="1" applyBorder="1" applyProtection="1">
      <protection locked="0"/>
    </xf>
    <xf numFmtId="0" fontId="10" fillId="0" borderId="33" xfId="7" applyFont="1" applyBorder="1" applyProtection="1">
      <protection locked="0"/>
    </xf>
    <xf numFmtId="166" fontId="33" fillId="0" borderId="0" xfId="2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3" fillId="8" borderId="2" xfId="0" applyFont="1" applyFill="1" applyBorder="1" applyAlignment="1" applyProtection="1">
      <alignment horizontal="center" vertical="center" wrapText="1"/>
    </xf>
    <xf numFmtId="0" fontId="14" fillId="8" borderId="2" xfId="5" applyFont="1" applyFill="1" applyBorder="1" applyAlignment="1" applyProtection="1">
      <alignment vertical="center"/>
    </xf>
    <xf numFmtId="0" fontId="55" fillId="8" borderId="2" xfId="5" applyFont="1" applyFill="1" applyBorder="1" applyAlignment="1" applyProtection="1">
      <alignment vertical="center"/>
    </xf>
    <xf numFmtId="0" fontId="55" fillId="8" borderId="2" xfId="5" quotePrefix="1" applyFont="1" applyFill="1" applyBorder="1" applyAlignment="1" applyProtection="1">
      <alignment horizontal="center" vertical="center"/>
    </xf>
    <xf numFmtId="0" fontId="55" fillId="8" borderId="2" xfId="5" quotePrefix="1" applyFont="1" applyFill="1" applyBorder="1" applyAlignment="1" applyProtection="1">
      <alignment horizontal="center" vertical="center" wrapText="1"/>
    </xf>
    <xf numFmtId="0" fontId="1" fillId="0" borderId="0" xfId="8" applyAlignment="1">
      <alignment horizontal="left" vertical="center"/>
    </xf>
    <xf numFmtId="0" fontId="54" fillId="0" borderId="0" xfId="0" applyFont="1" applyAlignment="1"/>
    <xf numFmtId="0" fontId="54" fillId="0" borderId="0" xfId="0" applyFont="1"/>
    <xf numFmtId="0" fontId="24" fillId="8" borderId="2" xfId="5" applyFont="1" applyFill="1" applyBorder="1" applyAlignment="1">
      <alignment horizontal="center" vertical="center"/>
      <protection locked="0"/>
    </xf>
    <xf numFmtId="0" fontId="34" fillId="0" borderId="0" xfId="0" applyFont="1" applyProtection="1"/>
    <xf numFmtId="10" fontId="21" fillId="13" borderId="14" xfId="2" applyNumberFormat="1" applyFont="1" applyFill="1" applyBorder="1" applyAlignment="1" applyProtection="1">
      <alignment horizontal="right" vertical="center" indent="1"/>
    </xf>
    <xf numFmtId="169" fontId="17" fillId="14" borderId="0" xfId="7" applyNumberFormat="1" applyFont="1" applyFill="1" applyBorder="1" applyAlignment="1">
      <alignment horizontal="center" vertical="center"/>
    </xf>
    <xf numFmtId="169" fontId="17" fillId="14" borderId="21" xfId="7" applyNumberFormat="1" applyFont="1" applyFill="1" applyBorder="1" applyAlignment="1">
      <alignment horizontal="center" vertical="center"/>
    </xf>
    <xf numFmtId="169" fontId="17" fillId="14" borderId="22" xfId="7" applyNumberFormat="1" applyFont="1" applyFill="1" applyBorder="1" applyAlignment="1">
      <alignment horizontal="center" vertical="center"/>
    </xf>
    <xf numFmtId="169" fontId="17" fillId="14" borderId="23" xfId="7" applyNumberFormat="1" applyFont="1" applyFill="1" applyBorder="1" applyAlignment="1">
      <alignment horizontal="center" vertical="center"/>
    </xf>
    <xf numFmtId="49" fontId="1" fillId="0" borderId="0" xfId="8" applyNumberFormat="1" applyFill="1" applyProtection="1">
      <protection locked="0"/>
    </xf>
    <xf numFmtId="0" fontId="30" fillId="0" borderId="0" xfId="8" applyFont="1" applyFill="1" applyAlignment="1" applyProtection="1">
      <alignment horizontal="left"/>
    </xf>
    <xf numFmtId="0" fontId="1" fillId="0" borderId="0" xfId="8" applyFill="1" applyProtection="1">
      <protection locked="0"/>
    </xf>
    <xf numFmtId="0" fontId="38" fillId="0" borderId="0" xfId="8" applyFont="1" applyFill="1" applyAlignment="1" applyProtection="1">
      <alignment horizontal="left" vertical="center" wrapText="1" indent="1"/>
      <protection locked="0"/>
    </xf>
    <xf numFmtId="167" fontId="38" fillId="0" borderId="0" xfId="8" applyNumberFormat="1" applyFont="1" applyFill="1" applyBorder="1" applyAlignment="1" applyProtection="1">
      <alignment horizontal="right" vertical="center" wrapText="1"/>
      <protection locked="0"/>
    </xf>
    <xf numFmtId="167" fontId="38" fillId="0" borderId="12" xfId="8" applyNumberFormat="1" applyFont="1" applyFill="1" applyBorder="1" applyAlignment="1" applyProtection="1">
      <alignment horizontal="right" vertical="center" wrapText="1"/>
      <protection locked="0"/>
    </xf>
    <xf numFmtId="167" fontId="38" fillId="0" borderId="13" xfId="8" applyNumberFormat="1" applyFont="1" applyFill="1" applyBorder="1" applyAlignment="1" applyProtection="1">
      <alignment horizontal="right" vertical="center" wrapText="1"/>
      <protection locked="0"/>
    </xf>
    <xf numFmtId="167" fontId="39" fillId="0" borderId="0" xfId="8" applyNumberFormat="1" applyFont="1" applyFill="1" applyBorder="1" applyAlignment="1" applyProtection="1">
      <alignment horizontal="right" vertical="center" wrapText="1"/>
      <protection locked="0"/>
    </xf>
    <xf numFmtId="168" fontId="39" fillId="0" borderId="0" xfId="8" applyNumberFormat="1" applyFont="1" applyFill="1" applyAlignment="1" applyProtection="1">
      <alignment horizontal="right" vertical="center" wrapText="1"/>
      <protection locked="0"/>
    </xf>
    <xf numFmtId="0" fontId="59" fillId="0" borderId="0" xfId="0" applyFont="1" applyProtection="1">
      <protection locked="0"/>
    </xf>
    <xf numFmtId="0" fontId="18" fillId="0" borderId="0" xfId="0" applyFont="1" applyFill="1" applyAlignment="1">
      <alignment vertical="center"/>
    </xf>
    <xf numFmtId="3" fontId="18" fillId="12" borderId="5" xfId="6" applyNumberFormat="1" applyFont="1" applyFill="1" applyBorder="1" applyAlignment="1" applyProtection="1">
      <alignment vertical="center"/>
      <protection locked="0"/>
    </xf>
    <xf numFmtId="3" fontId="21" fillId="7" borderId="40" xfId="0" applyNumberFormat="1" applyFont="1" applyFill="1" applyBorder="1" applyAlignment="1" applyProtection="1">
      <alignment horizontal="right" vertical="center" indent="1"/>
    </xf>
    <xf numFmtId="0" fontId="18" fillId="0" borderId="0" xfId="0" applyFont="1" applyFill="1" applyAlignment="1">
      <alignment horizontal="left" vertical="center"/>
    </xf>
    <xf numFmtId="171" fontId="15" fillId="0" borderId="0" xfId="1" applyNumberFormat="1" applyFont="1" applyBorder="1" applyAlignment="1" applyProtection="1">
      <alignment horizontal="right" vertical="center" wrapText="1"/>
    </xf>
    <xf numFmtId="171" fontId="15" fillId="0" borderId="12" xfId="1" applyNumberFormat="1" applyFont="1" applyBorder="1" applyAlignment="1" applyProtection="1">
      <alignment horizontal="right" vertical="center" wrapText="1"/>
    </xf>
    <xf numFmtId="171" fontId="15" fillId="0" borderId="13" xfId="1" applyNumberFormat="1" applyFont="1" applyBorder="1" applyAlignment="1" applyProtection="1">
      <alignment horizontal="right" vertical="center" wrapText="1"/>
    </xf>
    <xf numFmtId="171" fontId="18" fillId="12" borderId="2" xfId="1" applyNumberFormat="1" applyFont="1" applyFill="1" applyBorder="1" applyAlignment="1" applyProtection="1">
      <alignment vertical="center"/>
      <protection locked="0"/>
    </xf>
    <xf numFmtId="171" fontId="18" fillId="12" borderId="3" xfId="1" applyNumberFormat="1" applyFont="1" applyFill="1" applyBorder="1" applyAlignment="1" applyProtection="1">
      <alignment vertical="center"/>
      <protection locked="0"/>
    </xf>
    <xf numFmtId="171" fontId="18" fillId="12" borderId="10" xfId="1" applyNumberFormat="1" applyFont="1" applyFill="1" applyBorder="1" applyAlignment="1" applyProtection="1">
      <alignment vertical="center"/>
      <protection locked="0"/>
    </xf>
    <xf numFmtId="171" fontId="18" fillId="12" borderId="11" xfId="1" applyNumberFormat="1" applyFont="1" applyFill="1" applyBorder="1" applyAlignment="1" applyProtection="1">
      <alignment vertical="center"/>
      <protection locked="0"/>
    </xf>
    <xf numFmtId="171" fontId="15" fillId="0" borderId="0" xfId="1" applyNumberFormat="1" applyFont="1" applyBorder="1" applyAlignment="1" applyProtection="1">
      <alignment horizontal="right" vertical="center"/>
    </xf>
    <xf numFmtId="171" fontId="15" fillId="0" borderId="12" xfId="1" applyNumberFormat="1" applyFont="1" applyBorder="1" applyAlignment="1" applyProtection="1">
      <alignment horizontal="right" vertical="center"/>
    </xf>
    <xf numFmtId="171" fontId="15" fillId="0" borderId="13" xfId="1" applyNumberFormat="1" applyFont="1" applyBorder="1" applyAlignment="1" applyProtection="1">
      <alignment horizontal="right" vertical="center"/>
    </xf>
    <xf numFmtId="171" fontId="15" fillId="0" borderId="0" xfId="5" applyNumberFormat="1" applyFont="1" applyBorder="1" applyAlignment="1" applyProtection="1">
      <alignment horizontal="right" vertical="center"/>
    </xf>
    <xf numFmtId="171" fontId="15" fillId="0" borderId="12" xfId="5" applyNumberFormat="1" applyFont="1" applyBorder="1" applyAlignment="1" applyProtection="1">
      <alignment horizontal="right" vertical="center"/>
    </xf>
    <xf numFmtId="171" fontId="15" fillId="0" borderId="13" xfId="5" applyNumberFormat="1" applyFont="1" applyBorder="1" applyAlignment="1" applyProtection="1">
      <alignment horizontal="right" vertical="center"/>
    </xf>
    <xf numFmtId="171" fontId="21" fillId="7" borderId="3" xfId="0" applyNumberFormat="1" applyFont="1" applyFill="1" applyBorder="1" applyAlignment="1" applyProtection="1">
      <alignment horizontal="center" vertical="center"/>
      <protection locked="0"/>
    </xf>
    <xf numFmtId="171" fontId="21" fillId="7" borderId="2" xfId="0" applyNumberFormat="1" applyFont="1" applyFill="1" applyBorder="1" applyAlignment="1" applyProtection="1">
      <alignment horizontal="left" vertical="center" indent="1"/>
      <protection locked="0"/>
    </xf>
    <xf numFmtId="171" fontId="21" fillId="7" borderId="3" xfId="0" applyNumberFormat="1" applyFont="1" applyFill="1" applyBorder="1" applyAlignment="1" applyProtection="1">
      <alignment horizontal="left" vertical="center" indent="1"/>
      <protection locked="0"/>
    </xf>
    <xf numFmtId="171" fontId="21" fillId="7" borderId="10" xfId="0" applyNumberFormat="1" applyFont="1" applyFill="1" applyBorder="1" applyAlignment="1" applyProtection="1">
      <alignment horizontal="left" vertical="center" indent="1"/>
      <protection locked="0"/>
    </xf>
    <xf numFmtId="171" fontId="21" fillId="7" borderId="11" xfId="0" applyNumberFormat="1" applyFont="1" applyFill="1" applyBorder="1" applyAlignment="1" applyProtection="1">
      <alignment horizontal="left" vertical="center" indent="1"/>
      <protection locked="0"/>
    </xf>
    <xf numFmtId="49" fontId="60" fillId="0" borderId="0" xfId="4" applyNumberFormat="1" applyFont="1" applyAlignment="1" applyProtection="1">
      <alignment vertical="top"/>
    </xf>
    <xf numFmtId="170" fontId="58" fillId="6" borderId="10" xfId="12" applyNumberFormat="1" applyFont="1" applyFill="1" applyBorder="1" applyAlignment="1" applyProtection="1">
      <alignment vertical="center"/>
    </xf>
    <xf numFmtId="170" fontId="58" fillId="6" borderId="4" xfId="12" applyNumberFormat="1" applyFont="1" applyFill="1" applyBorder="1" applyAlignment="1" applyProtection="1">
      <alignment vertical="center"/>
    </xf>
    <xf numFmtId="49" fontId="60" fillId="0" borderId="0" xfId="4" applyNumberFormat="1" applyFont="1" applyBorder="1" applyAlignment="1" applyProtection="1">
      <alignment vertical="top"/>
    </xf>
    <xf numFmtId="170" fontId="58" fillId="0" borderId="10" xfId="12" applyNumberFormat="1" applyFont="1" applyFill="1" applyBorder="1" applyAlignment="1" applyProtection="1">
      <alignment vertical="center"/>
    </xf>
    <xf numFmtId="172" fontId="16" fillId="0" borderId="3" xfId="6" applyNumberFormat="1" applyFont="1" applyBorder="1" applyAlignment="1" applyProtection="1">
      <alignment vertical="center"/>
    </xf>
    <xf numFmtId="172" fontId="18" fillId="0" borderId="2" xfId="6" applyNumberFormat="1" applyFont="1" applyBorder="1" applyAlignment="1" applyProtection="1">
      <alignment vertical="center"/>
    </xf>
    <xf numFmtId="172" fontId="18" fillId="0" borderId="3" xfId="6" applyNumberFormat="1" applyFont="1" applyBorder="1" applyAlignment="1" applyProtection="1">
      <alignment vertical="center"/>
    </xf>
    <xf numFmtId="172" fontId="18" fillId="0" borderId="11" xfId="6" applyNumberFormat="1" applyFont="1" applyBorder="1" applyAlignment="1" applyProtection="1">
      <alignment vertical="center"/>
    </xf>
    <xf numFmtId="172" fontId="16" fillId="0" borderId="2" xfId="6" applyNumberFormat="1" applyFont="1" applyBorder="1" applyAlignment="1" applyProtection="1">
      <alignment vertical="center"/>
    </xf>
    <xf numFmtId="172" fontId="16" fillId="0" borderId="11" xfId="6" applyNumberFormat="1" applyFont="1" applyBorder="1" applyAlignment="1" applyProtection="1">
      <alignment vertical="center"/>
    </xf>
    <xf numFmtId="172" fontId="18" fillId="12" borderId="3" xfId="6" applyNumberFormat="1" applyFont="1" applyFill="1" applyBorder="1" applyAlignment="1" applyProtection="1">
      <alignment vertical="center"/>
      <protection locked="0"/>
    </xf>
    <xf numFmtId="172" fontId="18" fillId="12" borderId="2" xfId="6" applyNumberFormat="1" applyFont="1" applyFill="1" applyBorder="1" applyAlignment="1" applyProtection="1">
      <alignment vertical="center"/>
      <protection locked="0"/>
    </xf>
    <xf numFmtId="172" fontId="0" fillId="0" borderId="0" xfId="0" applyNumberFormat="1" applyProtection="1"/>
    <xf numFmtId="172" fontId="18" fillId="12" borderId="10" xfId="6" applyNumberFormat="1" applyFont="1" applyFill="1" applyBorder="1" applyAlignment="1" applyProtection="1">
      <alignment vertical="center"/>
      <protection locked="0"/>
    </xf>
    <xf numFmtId="172" fontId="0" fillId="0" borderId="0" xfId="0" applyNumberFormat="1"/>
    <xf numFmtId="171" fontId="18" fillId="6" borderId="2" xfId="1" applyNumberFormat="1" applyFont="1" applyFill="1" applyBorder="1" applyAlignment="1">
      <alignment vertical="center"/>
    </xf>
    <xf numFmtId="171" fontId="18" fillId="6" borderId="3" xfId="1" applyNumberFormat="1" applyFont="1" applyFill="1" applyBorder="1" applyAlignment="1">
      <alignment vertical="center"/>
    </xf>
    <xf numFmtId="171" fontId="18" fillId="6" borderId="10" xfId="1" applyNumberFormat="1" applyFont="1" applyFill="1" applyBorder="1" applyAlignment="1">
      <alignment vertical="center"/>
    </xf>
    <xf numFmtId="171" fontId="18" fillId="6" borderId="11" xfId="1" applyNumberFormat="1" applyFont="1" applyFill="1" applyBorder="1" applyAlignment="1">
      <alignment vertical="center"/>
    </xf>
    <xf numFmtId="171" fontId="21" fillId="7" borderId="2" xfId="1" applyNumberFormat="1" applyFont="1" applyFill="1" applyBorder="1" applyAlignment="1" applyProtection="1">
      <alignment horizontal="center" vertical="center"/>
    </xf>
    <xf numFmtId="171" fontId="17" fillId="6" borderId="2" xfId="5" applyNumberFormat="1" applyFont="1" applyFill="1" applyBorder="1" applyAlignment="1" applyProtection="1">
      <alignment horizontal="left" vertical="top" wrapText="1"/>
      <protection locked="0"/>
    </xf>
    <xf numFmtId="171" fontId="21" fillId="7" borderId="3" xfId="1" applyNumberFormat="1" applyFont="1" applyFill="1" applyBorder="1" applyAlignment="1" applyProtection="1">
      <alignment horizontal="center" vertical="center"/>
    </xf>
    <xf numFmtId="171" fontId="21" fillId="7" borderId="14" xfId="1" applyNumberFormat="1" applyFont="1" applyFill="1" applyBorder="1" applyAlignment="1" applyProtection="1">
      <alignment horizontal="center" vertical="center"/>
    </xf>
    <xf numFmtId="171" fontId="21" fillId="7" borderId="15" xfId="1" applyNumberFormat="1" applyFont="1" applyFill="1" applyBorder="1" applyAlignment="1" applyProtection="1">
      <alignment horizontal="center" vertical="center"/>
    </xf>
    <xf numFmtId="171" fontId="21" fillId="7" borderId="16" xfId="1" applyNumberFormat="1" applyFont="1" applyFill="1" applyBorder="1" applyAlignment="1" applyProtection="1">
      <alignment horizontal="center" vertical="center"/>
    </xf>
    <xf numFmtId="171" fontId="4" fillId="0" borderId="0" xfId="4" applyNumberFormat="1" applyAlignment="1" applyProtection="1">
      <alignment vertical="top"/>
    </xf>
    <xf numFmtId="171" fontId="0" fillId="0" borderId="0" xfId="0" applyNumberFormat="1"/>
    <xf numFmtId="171" fontId="58" fillId="6" borderId="10" xfId="12" applyNumberFormat="1" applyFont="1" applyFill="1" applyBorder="1" applyAlignment="1" applyProtection="1">
      <alignment vertical="center"/>
    </xf>
    <xf numFmtId="9" fontId="18" fillId="6" borderId="2" xfId="2" applyNumberFormat="1" applyFont="1" applyFill="1" applyBorder="1" applyAlignment="1" applyProtection="1">
      <alignment vertical="center"/>
    </xf>
    <xf numFmtId="166" fontId="18" fillId="10" borderId="2" xfId="2" applyNumberFormat="1" applyFont="1" applyFill="1" applyBorder="1" applyAlignment="1" applyProtection="1">
      <alignment vertical="center"/>
    </xf>
    <xf numFmtId="166" fontId="18" fillId="6" borderId="2" xfId="2" applyNumberFormat="1" applyFont="1" applyFill="1" applyBorder="1" applyAlignment="1" applyProtection="1">
      <alignment vertical="center"/>
    </xf>
    <xf numFmtId="166" fontId="17" fillId="3" borderId="2" xfId="2" applyNumberFormat="1" applyFont="1" applyFill="1" applyBorder="1" applyAlignment="1" applyProtection="1">
      <alignment horizontal="right" vertical="center"/>
    </xf>
    <xf numFmtId="166" fontId="38" fillId="0" borderId="0" xfId="2" applyNumberFormat="1" applyFont="1" applyAlignment="1" applyProtection="1">
      <alignment horizontal="left" vertical="center" indent="2"/>
    </xf>
    <xf numFmtId="166" fontId="1" fillId="0" borderId="0" xfId="2" applyNumberFormat="1" applyProtection="1"/>
    <xf numFmtId="9" fontId="21" fillId="7" borderId="2" xfId="2" applyNumberFormat="1" applyFont="1" applyFill="1" applyBorder="1" applyAlignment="1" applyProtection="1">
      <alignment horizontal="right" vertical="center" indent="1"/>
    </xf>
    <xf numFmtId="9" fontId="38" fillId="0" borderId="0" xfId="2" applyNumberFormat="1" applyFont="1" applyBorder="1" applyAlignment="1" applyProtection="1">
      <alignment horizontal="right" vertical="center" wrapText="1"/>
    </xf>
    <xf numFmtId="3" fontId="1" fillId="0" borderId="0" xfId="8" applyNumberFormat="1" applyProtection="1"/>
    <xf numFmtId="3" fontId="1" fillId="0" borderId="12" xfId="8" applyNumberFormat="1" applyBorder="1" applyProtection="1"/>
    <xf numFmtId="3" fontId="1" fillId="0" borderId="0" xfId="8" applyNumberFormat="1" applyBorder="1" applyProtection="1"/>
    <xf numFmtId="3" fontId="1" fillId="0" borderId="13" xfId="8" applyNumberFormat="1" applyBorder="1" applyProtection="1"/>
    <xf numFmtId="166" fontId="21" fillId="7" borderId="2" xfId="2" applyNumberFormat="1" applyFont="1" applyFill="1" applyBorder="1" applyAlignment="1" applyProtection="1">
      <alignment horizontal="right" vertical="center" indent="1"/>
    </xf>
    <xf numFmtId="0" fontId="61" fillId="4" borderId="7" xfId="0" applyFont="1" applyFill="1" applyBorder="1" applyAlignment="1" applyProtection="1">
      <alignment horizontal="center" vertical="center"/>
      <protection locked="0"/>
    </xf>
    <xf numFmtId="0" fontId="45" fillId="8" borderId="3" xfId="0" applyFont="1" applyFill="1" applyBorder="1" applyAlignment="1" applyProtection="1">
      <alignment horizontal="center" vertical="center"/>
      <protection locked="0"/>
    </xf>
    <xf numFmtId="0" fontId="45" fillId="4" borderId="10" xfId="0" applyFont="1" applyFill="1" applyBorder="1" applyAlignment="1" applyProtection="1">
      <alignment horizontal="center" vertical="center"/>
      <protection locked="0"/>
    </xf>
    <xf numFmtId="0" fontId="57" fillId="0" borderId="0" xfId="0" applyFont="1"/>
    <xf numFmtId="0" fontId="0" fillId="0" borderId="0" xfId="0" applyFill="1"/>
    <xf numFmtId="0" fontId="46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48" fillId="0" borderId="0" xfId="0" applyFont="1" applyFill="1" applyAlignment="1">
      <alignment vertical="center" wrapText="1"/>
    </xf>
    <xf numFmtId="166" fontId="15" fillId="0" borderId="0" xfId="2" applyNumberFormat="1" applyFont="1" applyFill="1" applyAlignment="1">
      <alignment horizontal="center" vertical="center"/>
    </xf>
    <xf numFmtId="3" fontId="2" fillId="0" borderId="0" xfId="3" applyNumberFormat="1" applyFont="1" applyFill="1" applyBorder="1" applyAlignment="1">
      <alignment horizontal="center" vertical="center" wrapText="1"/>
    </xf>
    <xf numFmtId="3" fontId="31" fillId="0" borderId="0" xfId="3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6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 wrapText="1"/>
    </xf>
    <xf numFmtId="165" fontId="18" fillId="0" borderId="0" xfId="6" applyNumberFormat="1" applyFont="1" applyFill="1" applyBorder="1" applyAlignment="1" applyProtection="1">
      <alignment vertical="center"/>
      <protection locked="0"/>
    </xf>
    <xf numFmtId="0" fontId="1" fillId="0" borderId="0" xfId="8" applyFont="1"/>
    <xf numFmtId="0" fontId="63" fillId="7" borderId="2" xfId="0" applyFont="1" applyFill="1" applyBorder="1" applyAlignment="1" applyProtection="1">
      <alignment horizontal="left" vertical="center"/>
    </xf>
    <xf numFmtId="3" fontId="46" fillId="12" borderId="10" xfId="6" applyNumberFormat="1" applyFont="1" applyFill="1" applyBorder="1" applyAlignment="1" applyProtection="1">
      <alignment vertical="center"/>
      <protection locked="0"/>
    </xf>
    <xf numFmtId="1" fontId="47" fillId="6" borderId="2" xfId="5" applyNumberFormat="1" applyFont="1" applyFill="1" applyBorder="1" applyAlignment="1" applyProtection="1">
      <alignment horizontal="center" vertical="center" wrapText="1"/>
    </xf>
    <xf numFmtId="1" fontId="34" fillId="0" borderId="0" xfId="8" applyNumberFormat="1" applyFont="1" applyAlignment="1">
      <alignment horizontal="center" vertical="center"/>
    </xf>
    <xf numFmtId="1" fontId="64" fillId="6" borderId="2" xfId="5" applyNumberFormat="1" applyFont="1" applyFill="1" applyBorder="1" applyAlignment="1" applyProtection="1">
      <alignment horizontal="center" vertical="center" wrapText="1"/>
    </xf>
    <xf numFmtId="171" fontId="18" fillId="12" borderId="11" xfId="6" applyNumberFormat="1" applyFont="1" applyFill="1" applyBorder="1" applyAlignment="1" applyProtection="1">
      <alignment vertical="center"/>
      <protection locked="0"/>
    </xf>
    <xf numFmtId="171" fontId="18" fillId="12" borderId="2" xfId="6" applyNumberFormat="1" applyFont="1" applyFill="1" applyBorder="1" applyAlignment="1" applyProtection="1">
      <alignment vertical="center"/>
      <protection locked="0"/>
    </xf>
    <xf numFmtId="171" fontId="18" fillId="12" borderId="3" xfId="6" applyNumberFormat="1" applyFont="1" applyFill="1" applyBorder="1" applyAlignment="1" applyProtection="1">
      <alignment vertical="center"/>
      <protection locked="0"/>
    </xf>
    <xf numFmtId="171" fontId="18" fillId="12" borderId="10" xfId="6" applyNumberFormat="1" applyFont="1" applyFill="1" applyBorder="1" applyAlignment="1" applyProtection="1">
      <alignment vertical="center"/>
      <protection locked="0"/>
    </xf>
    <xf numFmtId="171" fontId="15" fillId="0" borderId="0" xfId="5" applyNumberFormat="1" applyFont="1" applyBorder="1" applyAlignment="1" applyProtection="1">
      <alignment horizontal="left" vertical="center"/>
    </xf>
    <xf numFmtId="171" fontId="15" fillId="0" borderId="12" xfId="5" applyNumberFormat="1" applyFont="1" applyBorder="1" applyAlignment="1" applyProtection="1">
      <alignment horizontal="left" vertical="center"/>
    </xf>
    <xf numFmtId="171" fontId="15" fillId="0" borderId="13" xfId="5" applyNumberFormat="1" applyFont="1" applyBorder="1" applyAlignment="1" applyProtection="1">
      <alignment horizontal="left" vertical="center"/>
    </xf>
    <xf numFmtId="171" fontId="18" fillId="12" borderId="14" xfId="6" applyNumberFormat="1" applyFont="1" applyFill="1" applyBorder="1" applyAlignment="1" applyProtection="1">
      <alignment vertical="center"/>
      <protection locked="0"/>
    </xf>
    <xf numFmtId="0" fontId="13" fillId="0" borderId="0" xfId="7" applyFont="1" applyBorder="1" applyAlignment="1">
      <alignment vertical="top" wrapText="1"/>
    </xf>
    <xf numFmtId="0" fontId="17" fillId="0" borderId="22" xfId="7" applyFont="1" applyBorder="1" applyAlignment="1">
      <alignment horizontal="center" vertical="center" wrapText="1"/>
    </xf>
    <xf numFmtId="171" fontId="17" fillId="12" borderId="10" xfId="1" applyNumberFormat="1" applyFont="1" applyFill="1" applyBorder="1" applyAlignment="1" applyProtection="1">
      <alignment vertical="center"/>
      <protection locked="0"/>
    </xf>
    <xf numFmtId="171" fontId="17" fillId="12" borderId="43" xfId="1" applyNumberFormat="1" applyFont="1" applyFill="1" applyBorder="1" applyAlignment="1" applyProtection="1">
      <alignment vertical="center"/>
      <protection locked="0"/>
    </xf>
    <xf numFmtId="0" fontId="9" fillId="0" borderId="0" xfId="7" applyFont="1" applyBorder="1"/>
    <xf numFmtId="0" fontId="59" fillId="0" borderId="0" xfId="0" applyFont="1"/>
    <xf numFmtId="0" fontId="65" fillId="0" borderId="0" xfId="0" applyFont="1"/>
    <xf numFmtId="0" fontId="9" fillId="0" borderId="0" xfId="7" applyFont="1"/>
    <xf numFmtId="0" fontId="9" fillId="0" borderId="0" xfId="7" applyFont="1" applyBorder="1" applyProtection="1">
      <protection locked="0"/>
    </xf>
    <xf numFmtId="0" fontId="9" fillId="0" borderId="0" xfId="7" applyFont="1" applyProtection="1">
      <protection locked="0"/>
    </xf>
    <xf numFmtId="170" fontId="58" fillId="0" borderId="4" xfId="12" applyNumberFormat="1" applyFont="1" applyFill="1" applyBorder="1" applyAlignment="1" applyProtection="1">
      <alignment vertical="center"/>
    </xf>
    <xf numFmtId="170" fontId="58" fillId="6" borderId="44" xfId="12" applyNumberFormat="1" applyFont="1" applyFill="1" applyBorder="1" applyAlignment="1" applyProtection="1">
      <alignment vertical="center"/>
    </xf>
    <xf numFmtId="49" fontId="17" fillId="6" borderId="2" xfId="5" applyNumberFormat="1" applyFont="1" applyFill="1" applyBorder="1" applyAlignment="1" applyProtection="1">
      <alignment horizontal="left" vertical="top" wrapText="1" indent="2"/>
    </xf>
    <xf numFmtId="0" fontId="20" fillId="0" borderId="0" xfId="0" applyFont="1" applyFill="1"/>
    <xf numFmtId="49" fontId="17" fillId="0" borderId="2" xfId="5" applyNumberFormat="1" applyFont="1" applyFill="1" applyBorder="1" applyAlignment="1" applyProtection="1">
      <alignment horizontal="left" vertical="top" wrapText="1"/>
    </xf>
    <xf numFmtId="0" fontId="9" fillId="0" borderId="22" xfId="7" applyFont="1" applyBorder="1" applyProtection="1">
      <protection locked="0"/>
    </xf>
    <xf numFmtId="49" fontId="15" fillId="6" borderId="2" xfId="5" applyNumberFormat="1" applyFont="1" applyFill="1" applyBorder="1" applyAlignment="1" applyProtection="1">
      <alignment horizontal="left" vertical="top" wrapText="1"/>
    </xf>
    <xf numFmtId="0" fontId="13" fillId="0" borderId="0" xfId="7" applyFont="1" applyBorder="1" applyAlignment="1">
      <alignment horizontal="left" vertical="top"/>
    </xf>
    <xf numFmtId="0" fontId="13" fillId="0" borderId="0" xfId="7" applyFont="1" applyBorder="1"/>
    <xf numFmtId="0" fontId="17" fillId="0" borderId="22" xfId="7" applyFont="1" applyBorder="1" applyAlignment="1">
      <alignment vertical="center" wrapText="1"/>
    </xf>
    <xf numFmtId="0" fontId="17" fillId="0" borderId="0" xfId="7" applyFont="1" applyBorder="1" applyAlignment="1">
      <alignment horizontal="left" vertical="center" indent="1"/>
    </xf>
    <xf numFmtId="0" fontId="17" fillId="0" borderId="22" xfId="7" applyFont="1" applyBorder="1" applyAlignment="1">
      <alignment horizontal="left" vertical="center" indent="1"/>
    </xf>
    <xf numFmtId="0" fontId="66" fillId="0" borderId="0" xfId="7" applyFont="1" applyBorder="1"/>
    <xf numFmtId="0" fontId="11" fillId="0" borderId="0" xfId="7" applyFont="1" applyFill="1"/>
    <xf numFmtId="49" fontId="17" fillId="0" borderId="5" xfId="5" applyNumberFormat="1" applyFont="1" applyFill="1" applyBorder="1" applyAlignment="1" applyProtection="1">
      <alignment horizontal="left" vertical="top" wrapText="1" indent="2"/>
    </xf>
    <xf numFmtId="3" fontId="18" fillId="0" borderId="0" xfId="6" applyNumberFormat="1" applyFont="1" applyFill="1" applyBorder="1" applyAlignment="1" applyProtection="1">
      <alignment vertical="center"/>
    </xf>
    <xf numFmtId="0" fontId="11" fillId="0" borderId="0" xfId="7" applyFont="1" applyFill="1" applyBorder="1"/>
    <xf numFmtId="0" fontId="13" fillId="0" borderId="0" xfId="7" applyFont="1" applyFill="1" applyBorder="1"/>
    <xf numFmtId="0" fontId="17" fillId="0" borderId="0" xfId="7" applyFont="1" applyBorder="1"/>
    <xf numFmtId="171" fontId="18" fillId="12" borderId="41" xfId="6" applyNumberFormat="1" applyFont="1" applyFill="1" applyBorder="1" applyAlignment="1" applyProtection="1">
      <alignment vertical="center"/>
      <protection locked="0"/>
    </xf>
    <xf numFmtId="171" fontId="18" fillId="12" borderId="45" xfId="6" applyNumberFormat="1" applyFont="1" applyFill="1" applyBorder="1" applyAlignment="1" applyProtection="1">
      <alignment vertical="center"/>
      <protection locked="0"/>
    </xf>
    <xf numFmtId="171" fontId="18" fillId="12" borderId="5" xfId="6" applyNumberFormat="1" applyFont="1" applyFill="1" applyBorder="1" applyAlignment="1" applyProtection="1">
      <alignment vertical="center"/>
      <protection locked="0"/>
    </xf>
    <xf numFmtId="171" fontId="21" fillId="7" borderId="6" xfId="0" applyNumberFormat="1" applyFont="1" applyFill="1" applyBorder="1" applyAlignment="1" applyProtection="1">
      <alignment horizontal="center" vertical="center"/>
      <protection locked="0"/>
    </xf>
    <xf numFmtId="3" fontId="18" fillId="6" borderId="44" xfId="6" applyNumberFormat="1" applyFont="1" applyFill="1" applyBorder="1" applyAlignment="1" applyProtection="1">
      <alignment vertical="center"/>
    </xf>
    <xf numFmtId="3" fontId="18" fillId="6" borderId="40" xfId="6" applyNumberFormat="1" applyFont="1" applyFill="1" applyBorder="1" applyAlignment="1" applyProtection="1">
      <alignment vertical="center"/>
    </xf>
    <xf numFmtId="0" fontId="23" fillId="8" borderId="45" xfId="0" applyFont="1" applyFill="1" applyBorder="1" applyAlignment="1" applyProtection="1">
      <alignment horizontal="center" vertical="center"/>
    </xf>
    <xf numFmtId="0" fontId="23" fillId="4" borderId="46" xfId="0" applyFont="1" applyFill="1" applyBorder="1" applyAlignment="1" applyProtection="1">
      <alignment horizontal="center" vertical="center"/>
    </xf>
    <xf numFmtId="3" fontId="17" fillId="3" borderId="40" xfId="5" applyNumberFormat="1" applyFont="1" applyFill="1" applyBorder="1" applyAlignment="1" applyProtection="1">
      <alignment horizontal="right" vertical="center"/>
    </xf>
    <xf numFmtId="3" fontId="21" fillId="7" borderId="42" xfId="2" applyNumberFormat="1" applyFont="1" applyFill="1" applyBorder="1" applyAlignment="1" applyProtection="1">
      <alignment horizontal="right" vertical="center" indent="1"/>
    </xf>
    <xf numFmtId="0" fontId="22" fillId="8" borderId="0" xfId="0" applyFont="1" applyFill="1" applyBorder="1" applyAlignment="1" applyProtection="1">
      <alignment horizontal="center" vertical="center"/>
    </xf>
    <xf numFmtId="0" fontId="22" fillId="8" borderId="0" xfId="0" applyFont="1" applyFill="1" applyBorder="1" applyAlignment="1" applyProtection="1">
      <alignment horizontal="left" vertical="center"/>
    </xf>
    <xf numFmtId="172" fontId="16" fillId="0" borderId="45" xfId="6" applyNumberFormat="1" applyFont="1" applyBorder="1" applyAlignment="1" applyProtection="1">
      <alignment vertical="center"/>
    </xf>
    <xf numFmtId="172" fontId="18" fillId="0" borderId="4" xfId="6" applyNumberFormat="1" applyFont="1" applyBorder="1" applyAlignment="1" applyProtection="1">
      <alignment vertical="center"/>
    </xf>
    <xf numFmtId="172" fontId="18" fillId="12" borderId="45" xfId="6" applyNumberFormat="1" applyFont="1" applyFill="1" applyBorder="1" applyAlignment="1" applyProtection="1">
      <alignment vertical="center"/>
      <protection locked="0"/>
    </xf>
    <xf numFmtId="172" fontId="18" fillId="0" borderId="0" xfId="6" applyNumberFormat="1" applyFont="1" applyBorder="1" applyAlignment="1" applyProtection="1">
      <alignment vertical="center"/>
    </xf>
    <xf numFmtId="172" fontId="18" fillId="0" borderId="45" xfId="6" applyNumberFormat="1" applyFont="1" applyBorder="1" applyAlignment="1" applyProtection="1">
      <alignment vertical="center"/>
    </xf>
    <xf numFmtId="172" fontId="18" fillId="0" borderId="41" xfId="6" applyNumberFormat="1" applyFont="1" applyBorder="1" applyAlignment="1" applyProtection="1">
      <alignment vertical="center"/>
    </xf>
    <xf numFmtId="172" fontId="16" fillId="0" borderId="4" xfId="6" applyNumberFormat="1" applyFont="1" applyBorder="1" applyAlignment="1" applyProtection="1">
      <alignment vertical="center"/>
    </xf>
    <xf numFmtId="172" fontId="16" fillId="0" borderId="0" xfId="6" applyNumberFormat="1" applyFont="1" applyBorder="1" applyAlignment="1" applyProtection="1">
      <alignment vertical="center"/>
    </xf>
    <xf numFmtId="172" fontId="18" fillId="0" borderId="44" xfId="6" applyNumberFormat="1" applyFont="1" applyBorder="1" applyAlignment="1" applyProtection="1">
      <alignment vertical="center"/>
    </xf>
    <xf numFmtId="0" fontId="23" fillId="4" borderId="41" xfId="0" applyFont="1" applyFill="1" applyBorder="1" applyAlignment="1">
      <alignment horizontal="center" vertical="center"/>
    </xf>
    <xf numFmtId="0" fontId="23" fillId="4" borderId="41" xfId="0" applyFont="1" applyFill="1" applyBorder="1" applyAlignment="1" applyProtection="1">
      <alignment horizontal="center" vertical="center"/>
    </xf>
    <xf numFmtId="0" fontId="23" fillId="4" borderId="5" xfId="0" applyFont="1" applyFill="1" applyBorder="1" applyAlignment="1" applyProtection="1">
      <alignment horizontal="center" vertical="center"/>
    </xf>
    <xf numFmtId="0" fontId="59" fillId="0" borderId="0" xfId="0" applyFont="1" applyFill="1"/>
    <xf numFmtId="171" fontId="18" fillId="0" borderId="4" xfId="1" applyNumberFormat="1" applyFont="1" applyFill="1" applyBorder="1" applyAlignment="1">
      <alignment vertical="center"/>
    </xf>
    <xf numFmtId="171" fontId="18" fillId="0" borderId="17" xfId="1" applyNumberFormat="1" applyFont="1" applyFill="1" applyBorder="1" applyAlignment="1">
      <alignment vertical="center"/>
    </xf>
    <xf numFmtId="171" fontId="18" fillId="0" borderId="10" xfId="1" applyNumberFormat="1" applyFont="1" applyFill="1" applyBorder="1" applyAlignment="1">
      <alignment vertical="center"/>
    </xf>
    <xf numFmtId="171" fontId="18" fillId="0" borderId="11" xfId="1" applyNumberFormat="1" applyFont="1" applyFill="1" applyBorder="1" applyAlignment="1">
      <alignment vertical="center"/>
    </xf>
    <xf numFmtId="170" fontId="18" fillId="12" borderId="3" xfId="12" applyNumberFormat="1" applyFont="1" applyFill="1" applyBorder="1" applyAlignment="1" applyProtection="1">
      <alignment vertical="center"/>
      <protection locked="0"/>
    </xf>
    <xf numFmtId="0" fontId="61" fillId="4" borderId="48" xfId="0" applyFont="1" applyFill="1" applyBorder="1" applyAlignment="1" applyProtection="1">
      <alignment horizontal="center" vertical="center"/>
      <protection locked="0"/>
    </xf>
    <xf numFmtId="0" fontId="45" fillId="4" borderId="18" xfId="0" applyFont="1" applyFill="1" applyBorder="1" applyAlignment="1" applyProtection="1">
      <alignment horizontal="center" vertical="center"/>
      <protection locked="0"/>
    </xf>
    <xf numFmtId="3" fontId="17" fillId="6" borderId="3" xfId="5" applyNumberFormat="1" applyFont="1" applyFill="1" applyBorder="1" applyAlignment="1" applyProtection="1">
      <alignment horizontal="right" vertical="center" wrapText="1"/>
    </xf>
    <xf numFmtId="166" fontId="47" fillId="0" borderId="0" xfId="2" applyNumberFormat="1" applyFont="1" applyBorder="1" applyAlignment="1">
      <alignment horizontal="right" vertical="center"/>
    </xf>
    <xf numFmtId="169" fontId="17" fillId="14" borderId="0" xfId="7" applyNumberFormat="1" applyFont="1" applyFill="1" applyBorder="1" applyAlignment="1">
      <alignment horizontal="center"/>
    </xf>
    <xf numFmtId="169" fontId="17" fillId="14" borderId="21" xfId="7" applyNumberFormat="1" applyFont="1" applyFill="1" applyBorder="1" applyAlignment="1">
      <alignment horizontal="center"/>
    </xf>
    <xf numFmtId="9" fontId="18" fillId="0" borderId="2" xfId="2" applyNumberFormat="1" applyFont="1" applyFill="1" applyBorder="1" applyAlignment="1" applyProtection="1">
      <alignment vertical="center"/>
    </xf>
    <xf numFmtId="3" fontId="18" fillId="0" borderId="17" xfId="6" applyNumberFormat="1" applyFont="1" applyFill="1" applyBorder="1" applyAlignment="1" applyProtection="1">
      <alignment vertical="center"/>
    </xf>
    <xf numFmtId="3" fontId="18" fillId="0" borderId="4" xfId="6" applyNumberFormat="1" applyFont="1" applyFill="1" applyBorder="1" applyAlignment="1" applyProtection="1">
      <alignment vertical="center"/>
    </xf>
    <xf numFmtId="0" fontId="36" fillId="0" borderId="0" xfId="8" applyFont="1" applyProtection="1"/>
    <xf numFmtId="0" fontId="1" fillId="0" borderId="0" xfId="8" applyFill="1"/>
    <xf numFmtId="49" fontId="17" fillId="0" borderId="2" xfId="5" applyNumberFormat="1" applyFont="1" applyFill="1" applyBorder="1" applyAlignment="1" applyProtection="1">
      <alignment horizontal="left" vertical="top" wrapText="1" indent="3"/>
    </xf>
    <xf numFmtId="3" fontId="18" fillId="0" borderId="2" xfId="6" applyNumberFormat="1" applyFont="1" applyFill="1" applyBorder="1" applyAlignment="1" applyProtection="1">
      <alignment vertical="center"/>
      <protection locked="0"/>
    </xf>
    <xf numFmtId="0" fontId="17" fillId="0" borderId="0" xfId="7" applyFont="1" applyFill="1" applyBorder="1"/>
    <xf numFmtId="0" fontId="17" fillId="0" borderId="0" xfId="7" applyFont="1" applyBorder="1" applyAlignment="1">
      <alignment horizontal="center"/>
    </xf>
    <xf numFmtId="0" fontId="9" fillId="0" borderId="22" xfId="7" applyFont="1" applyBorder="1" applyAlignment="1" applyProtection="1">
      <alignment horizontal="center"/>
      <protection locked="0"/>
    </xf>
    <xf numFmtId="49" fontId="17" fillId="0" borderId="2" xfId="5" applyNumberFormat="1" applyFont="1" applyFill="1" applyBorder="1" applyAlignment="1" applyProtection="1">
      <alignment horizontal="left" vertical="top" wrapText="1" indent="2"/>
    </xf>
    <xf numFmtId="166" fontId="17" fillId="6" borderId="4" xfId="5" applyNumberFormat="1" applyFont="1" applyFill="1" applyBorder="1" applyAlignment="1" applyProtection="1">
      <alignment horizontal="right" vertical="center" wrapText="1"/>
    </xf>
    <xf numFmtId="49" fontId="67" fillId="0" borderId="40" xfId="5" applyNumberFormat="1" applyFont="1" applyFill="1" applyBorder="1" applyAlignment="1" applyProtection="1">
      <alignment horizontal="left" vertical="top" wrapText="1"/>
    </xf>
    <xf numFmtId="9" fontId="68" fillId="0" borderId="47" xfId="2" applyFont="1" applyFill="1" applyBorder="1" applyAlignment="1" applyProtection="1">
      <alignment vertical="center"/>
    </xf>
    <xf numFmtId="0" fontId="1" fillId="11" borderId="0" xfId="8" applyFill="1" applyProtection="1"/>
    <xf numFmtId="0" fontId="1" fillId="11" borderId="0" xfId="8" applyFill="1" applyBorder="1" applyProtection="1"/>
    <xf numFmtId="171" fontId="58" fillId="6" borderId="4" xfId="12" applyNumberFormat="1" applyFont="1" applyFill="1" applyBorder="1" applyAlignment="1" applyProtection="1">
      <alignment vertical="center"/>
    </xf>
    <xf numFmtId="10" fontId="18" fillId="12" borderId="0" xfId="2" applyNumberFormat="1" applyFont="1" applyFill="1" applyBorder="1" applyAlignment="1" applyProtection="1">
      <alignment vertical="center"/>
      <protection locked="0"/>
    </xf>
    <xf numFmtId="0" fontId="21" fillId="7" borderId="2" xfId="0" applyFont="1" applyFill="1" applyBorder="1" applyAlignment="1" applyProtection="1">
      <alignment horizontal="left" vertical="center" wrapText="1"/>
    </xf>
    <xf numFmtId="43" fontId="58" fillId="6" borderId="4" xfId="12" applyFont="1" applyFill="1" applyBorder="1" applyAlignment="1" applyProtection="1">
      <alignment vertical="center"/>
    </xf>
    <xf numFmtId="43" fontId="58" fillId="6" borderId="10" xfId="12" applyFont="1" applyFill="1" applyBorder="1" applyAlignment="1" applyProtection="1">
      <alignment vertical="center"/>
    </xf>
    <xf numFmtId="43" fontId="58" fillId="0" borderId="4" xfId="12" applyFont="1" applyFill="1" applyBorder="1" applyAlignment="1" applyProtection="1">
      <alignment vertical="center"/>
    </xf>
    <xf numFmtId="43" fontId="58" fillId="0" borderId="10" xfId="12" applyFont="1" applyFill="1" applyBorder="1" applyAlignment="1" applyProtection="1">
      <alignment vertical="center"/>
    </xf>
    <xf numFmtId="0" fontId="13" fillId="0" borderId="0" xfId="7" applyFont="1" applyFill="1" applyBorder="1" applyAlignment="1">
      <alignment horizontal="left" vertical="center" indent="1"/>
    </xf>
    <xf numFmtId="9" fontId="17" fillId="0" borderId="0" xfId="2" applyFont="1" applyFill="1" applyAlignment="1">
      <alignment horizontal="center" vertical="center"/>
    </xf>
    <xf numFmtId="166" fontId="51" fillId="0" borderId="0" xfId="2" applyNumberFormat="1" applyFont="1" applyFill="1" applyAlignment="1">
      <alignment horizontal="center" vertical="center"/>
    </xf>
    <xf numFmtId="9" fontId="18" fillId="6" borderId="11" xfId="6" applyNumberFormat="1" applyFont="1" applyFill="1" applyBorder="1" applyAlignment="1" applyProtection="1">
      <alignment vertical="center"/>
    </xf>
    <xf numFmtId="9" fontId="18" fillId="6" borderId="3" xfId="6" applyNumberFormat="1" applyFont="1" applyFill="1" applyBorder="1" applyAlignment="1" applyProtection="1">
      <alignment vertical="center"/>
    </xf>
    <xf numFmtId="173" fontId="17" fillId="0" borderId="0" xfId="1" applyNumberFormat="1" applyFont="1" applyAlignment="1">
      <alignment horizontal="center" vertical="center"/>
    </xf>
    <xf numFmtId="166" fontId="17" fillId="6" borderId="4" xfId="5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1" fillId="0" borderId="17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Fill="1" applyBorder="1" applyAlignment="1" applyProtection="1">
      <alignment horizontal="left" vertical="center" indent="1"/>
      <protection locked="0"/>
    </xf>
    <xf numFmtId="0" fontId="21" fillId="0" borderId="4" xfId="0" applyFont="1" applyFill="1" applyBorder="1" applyAlignment="1" applyProtection="1">
      <alignment horizontal="left" vertical="center" indent="1"/>
      <protection locked="0"/>
    </xf>
    <xf numFmtId="0" fontId="21" fillId="0" borderId="11" xfId="0" applyFont="1" applyFill="1" applyBorder="1" applyAlignment="1" applyProtection="1">
      <alignment horizontal="left" vertical="center" indent="1"/>
      <protection locked="0"/>
    </xf>
    <xf numFmtId="173" fontId="21" fillId="7" borderId="3" xfId="0" applyNumberFormat="1" applyFont="1" applyFill="1" applyBorder="1" applyAlignment="1" applyProtection="1">
      <alignment horizontal="right" vertical="center" indent="1"/>
    </xf>
    <xf numFmtId="9" fontId="17" fillId="0" borderId="0" xfId="1" applyNumberFormat="1" applyFont="1" applyAlignment="1">
      <alignment horizontal="center" vertical="center"/>
    </xf>
    <xf numFmtId="0" fontId="12" fillId="0" borderId="0" xfId="7" applyFont="1" applyFill="1" applyBorder="1" applyAlignment="1">
      <alignment horizontal="left" vertical="center" indent="1"/>
    </xf>
    <xf numFmtId="0" fontId="13" fillId="0" borderId="0" xfId="7" applyFont="1" applyFill="1" applyBorder="1" applyAlignment="1">
      <alignment horizontal="left" vertical="top" wrapText="1"/>
    </xf>
    <xf numFmtId="0" fontId="10" fillId="0" borderId="0" xfId="7" applyFont="1" applyFill="1" applyBorder="1"/>
    <xf numFmtId="0" fontId="9" fillId="0" borderId="0" xfId="7" applyFont="1" applyFill="1" applyBorder="1"/>
    <xf numFmtId="0" fontId="9" fillId="0" borderId="0" xfId="7" applyFont="1" applyFill="1" applyBorder="1" applyProtection="1">
      <protection locked="0"/>
    </xf>
    <xf numFmtId="0" fontId="12" fillId="4" borderId="29" xfId="7" applyFont="1" applyFill="1" applyBorder="1" applyAlignment="1">
      <alignment vertical="center"/>
    </xf>
    <xf numFmtId="0" fontId="12" fillId="4" borderId="30" xfId="7" applyFont="1" applyFill="1" applyBorder="1" applyAlignment="1">
      <alignment vertical="center"/>
    </xf>
    <xf numFmtId="0" fontId="12" fillId="4" borderId="0" xfId="7" applyFont="1" applyFill="1" applyBorder="1" applyAlignment="1">
      <alignment vertical="center"/>
    </xf>
    <xf numFmtId="0" fontId="12" fillId="0" borderId="0" xfId="7" applyFont="1" applyFill="1" applyBorder="1" applyAlignment="1">
      <alignment vertical="center"/>
    </xf>
    <xf numFmtId="9" fontId="68" fillId="0" borderId="49" xfId="2" applyFont="1" applyFill="1" applyBorder="1" applyAlignment="1" applyProtection="1">
      <alignment vertical="center"/>
    </xf>
    <xf numFmtId="170" fontId="18" fillId="12" borderId="4" xfId="12" applyNumberFormat="1" applyFont="1" applyFill="1" applyBorder="1" applyAlignment="1" applyProtection="1">
      <alignment vertical="center"/>
      <protection locked="0"/>
    </xf>
    <xf numFmtId="0" fontId="11" fillId="0" borderId="0" xfId="7" applyFont="1" applyFill="1" applyBorder="1" applyAlignment="1" applyProtection="1">
      <alignment horizontal="left" vertical="top"/>
      <protection locked="0"/>
    </xf>
    <xf numFmtId="0" fontId="10" fillId="0" borderId="0" xfId="7" applyFont="1" applyFill="1" applyBorder="1" applyProtection="1">
      <protection locked="0"/>
    </xf>
    <xf numFmtId="170" fontId="21" fillId="13" borderId="14" xfId="12" applyNumberFormat="1" applyFont="1" applyFill="1" applyBorder="1" applyAlignment="1" applyProtection="1">
      <alignment horizontal="right" vertical="center" indent="1"/>
    </xf>
    <xf numFmtId="170" fontId="17" fillId="0" borderId="0" xfId="12" applyNumberFormat="1" applyFont="1" applyAlignment="1">
      <alignment horizontal="center" vertical="center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center" vertical="center"/>
    </xf>
    <xf numFmtId="49" fontId="17" fillId="6" borderId="40" xfId="5" applyNumberFormat="1" applyFont="1" applyFill="1" applyBorder="1" applyAlignment="1" applyProtection="1">
      <alignment horizontal="left" vertical="top" wrapText="1"/>
    </xf>
    <xf numFmtId="3" fontId="18" fillId="6" borderId="18" xfId="6" applyNumberFormat="1" applyFont="1" applyFill="1" applyBorder="1" applyAlignment="1" applyProtection="1">
      <alignment vertical="center"/>
    </xf>
    <xf numFmtId="3" fontId="18" fillId="0" borderId="10" xfId="6" applyNumberFormat="1" applyFont="1" applyFill="1" applyBorder="1" applyAlignment="1" applyProtection="1">
      <alignment vertical="center"/>
    </xf>
    <xf numFmtId="3" fontId="18" fillId="0" borderId="18" xfId="6" applyNumberFormat="1" applyFont="1" applyFill="1" applyBorder="1" applyAlignment="1" applyProtection="1">
      <alignment vertical="center"/>
    </xf>
    <xf numFmtId="3" fontId="18" fillId="6" borderId="47" xfId="6" applyNumberFormat="1" applyFont="1" applyFill="1" applyBorder="1" applyAlignment="1" applyProtection="1">
      <alignment vertical="center"/>
    </xf>
    <xf numFmtId="3" fontId="18" fillId="6" borderId="49" xfId="6" applyNumberFormat="1" applyFont="1" applyFill="1" applyBorder="1" applyAlignment="1" applyProtection="1">
      <alignment vertical="center"/>
    </xf>
    <xf numFmtId="0" fontId="59" fillId="0" borderId="0" xfId="0" applyFont="1" applyBorder="1"/>
    <xf numFmtId="174" fontId="18" fillId="6" borderId="11" xfId="6" applyNumberFormat="1" applyFont="1" applyFill="1" applyBorder="1" applyAlignment="1" applyProtection="1">
      <alignment vertical="center"/>
    </xf>
    <xf numFmtId="174" fontId="18" fillId="6" borderId="3" xfId="6" applyNumberFormat="1" applyFont="1" applyFill="1" applyBorder="1" applyAlignment="1" applyProtection="1">
      <alignment vertical="center"/>
    </xf>
    <xf numFmtId="174" fontId="20" fillId="0" borderId="0" xfId="0" applyNumberFormat="1" applyFont="1" applyBorder="1"/>
    <xf numFmtId="174" fontId="17" fillId="0" borderId="0" xfId="1" applyNumberFormat="1" applyFont="1" applyAlignment="1">
      <alignment horizontal="center" vertical="center"/>
    </xf>
    <xf numFmtId="174" fontId="18" fillId="0" borderId="0" xfId="0" applyNumberFormat="1" applyFont="1" applyAlignment="1">
      <alignment vertical="center"/>
    </xf>
    <xf numFmtId="0" fontId="20" fillId="0" borderId="0" xfId="0" applyFont="1" applyFill="1" applyBorder="1"/>
    <xf numFmtId="166" fontId="17" fillId="0" borderId="0" xfId="5" applyNumberFormat="1" applyFont="1" applyFill="1" applyBorder="1" applyAlignment="1" applyProtection="1">
      <alignment horizontal="right" vertical="center" wrapText="1"/>
    </xf>
    <xf numFmtId="166" fontId="17" fillId="0" borderId="0" xfId="5" applyNumberFormat="1" applyFont="1" applyFill="1" applyBorder="1" applyAlignment="1" applyProtection="1">
      <alignment horizontal="center" vertical="center" wrapText="1"/>
    </xf>
    <xf numFmtId="166" fontId="18" fillId="0" borderId="0" xfId="0" applyNumberFormat="1" applyFont="1" applyFill="1" applyAlignment="1">
      <alignment horizontal="center" vertical="center"/>
    </xf>
    <xf numFmtId="166" fontId="17" fillId="0" borderId="0" xfId="2" applyNumberFormat="1" applyFont="1" applyFill="1" applyAlignment="1">
      <alignment horizontal="center" vertical="center"/>
    </xf>
    <xf numFmtId="170" fontId="18" fillId="12" borderId="10" xfId="12" applyNumberFormat="1" applyFont="1" applyFill="1" applyBorder="1" applyAlignment="1" applyProtection="1">
      <alignment vertical="center"/>
      <protection locked="0"/>
    </xf>
    <xf numFmtId="0" fontId="18" fillId="0" borderId="0" xfId="0" applyFont="1" applyBorder="1" applyAlignment="1">
      <alignment vertical="center"/>
    </xf>
    <xf numFmtId="3" fontId="17" fillId="0" borderId="0" xfId="1" applyNumberFormat="1" applyFont="1" applyFill="1" applyAlignment="1">
      <alignment horizontal="center" vertical="center"/>
    </xf>
    <xf numFmtId="2" fontId="51" fillId="0" borderId="0" xfId="0" applyNumberFormat="1" applyFont="1" applyFill="1" applyAlignment="1">
      <alignment horizontal="center" vertical="center"/>
    </xf>
    <xf numFmtId="0" fontId="18" fillId="0" borderId="22" xfId="0" applyFont="1" applyFill="1" applyBorder="1" applyAlignment="1">
      <alignment horizontal="left" vertical="center"/>
    </xf>
    <xf numFmtId="0" fontId="18" fillId="0" borderId="22" xfId="0" applyFont="1" applyFill="1" applyBorder="1" applyAlignment="1">
      <alignment vertical="center"/>
    </xf>
    <xf numFmtId="3" fontId="17" fillId="0" borderId="50" xfId="5" applyNumberFormat="1" applyFont="1" applyFill="1" applyBorder="1" applyAlignment="1" applyProtection="1">
      <alignment horizontal="right" vertical="center" wrapText="1"/>
    </xf>
    <xf numFmtId="3" fontId="17" fillId="0" borderId="51" xfId="5" applyNumberFormat="1" applyFont="1" applyFill="1" applyBorder="1" applyAlignment="1" applyProtection="1">
      <alignment horizontal="right" vertical="center" wrapText="1"/>
    </xf>
    <xf numFmtId="0" fontId="20" fillId="0" borderId="22" xfId="0" applyFont="1" applyFill="1" applyBorder="1"/>
    <xf numFmtId="3" fontId="17" fillId="0" borderId="22" xfId="1" applyNumberFormat="1" applyFont="1" applyFill="1" applyBorder="1" applyAlignment="1">
      <alignment horizontal="center" vertical="center"/>
    </xf>
    <xf numFmtId="2" fontId="51" fillId="0" borderId="22" xfId="0" applyNumberFormat="1" applyFont="1" applyFill="1" applyBorder="1" applyAlignment="1">
      <alignment horizontal="center" vertical="center"/>
    </xf>
    <xf numFmtId="10" fontId="18" fillId="0" borderId="52" xfId="2" applyNumberFormat="1" applyFont="1" applyFill="1" applyBorder="1" applyAlignment="1" applyProtection="1">
      <alignment vertical="center"/>
      <protection locked="0"/>
    </xf>
    <xf numFmtId="3" fontId="17" fillId="0" borderId="42" xfId="5" applyNumberFormat="1" applyFont="1" applyFill="1" applyBorder="1" applyAlignment="1" applyProtection="1">
      <alignment horizontal="right" vertical="center" wrapText="1"/>
    </xf>
    <xf numFmtId="3" fontId="17" fillId="0" borderId="39" xfId="5" applyNumberFormat="1" applyFont="1" applyFill="1" applyBorder="1" applyAlignment="1" applyProtection="1">
      <alignment horizontal="right" vertical="center" wrapText="1"/>
    </xf>
    <xf numFmtId="10" fontId="18" fillId="0" borderId="40" xfId="2" applyNumberFormat="1" applyFont="1" applyFill="1" applyBorder="1" applyAlignment="1" applyProtection="1">
      <alignment vertical="center"/>
      <protection locked="0"/>
    </xf>
    <xf numFmtId="0" fontId="1" fillId="0" borderId="0" xfId="8" applyFill="1" applyProtection="1"/>
    <xf numFmtId="3" fontId="18" fillId="0" borderId="5" xfId="6" applyNumberFormat="1" applyFont="1" applyFill="1" applyBorder="1" applyAlignment="1" applyProtection="1">
      <alignment vertical="center"/>
      <protection locked="0"/>
    </xf>
    <xf numFmtId="3" fontId="18" fillId="0" borderId="44" xfId="6" applyNumberFormat="1" applyFont="1" applyFill="1" applyBorder="1" applyAlignment="1" applyProtection="1">
      <alignment vertical="center"/>
    </xf>
    <xf numFmtId="0" fontId="13" fillId="0" borderId="0" xfId="7" applyFont="1" applyBorder="1" applyAlignment="1">
      <alignment vertical="center" wrapText="1"/>
    </xf>
    <xf numFmtId="0" fontId="13" fillId="0" borderId="32" xfId="7" applyFont="1" applyBorder="1" applyAlignment="1">
      <alignment horizontal="left" vertical="center" wrapText="1" indent="1"/>
    </xf>
    <xf numFmtId="49" fontId="69" fillId="0" borderId="0" xfId="8" applyNumberFormat="1" applyFont="1" applyProtection="1">
      <protection locked="0"/>
    </xf>
    <xf numFmtId="2" fontId="24" fillId="15" borderId="2" xfId="5" applyNumberFormat="1" applyFont="1" applyFill="1" applyBorder="1" applyAlignment="1" applyProtection="1">
      <alignment horizontal="center" vertical="center" wrapText="1"/>
    </xf>
    <xf numFmtId="0" fontId="13" fillId="0" borderId="32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vertical="top" wrapText="1" indent="5"/>
    </xf>
    <xf numFmtId="0" fontId="20" fillId="0" borderId="22" xfId="0" applyFont="1" applyBorder="1" applyProtection="1">
      <protection locked="0"/>
    </xf>
    <xf numFmtId="166" fontId="47" fillId="0" borderId="22" xfId="2" applyNumberFormat="1" applyFont="1" applyBorder="1" applyAlignment="1" applyProtection="1">
      <alignment horizontal="right" vertical="center"/>
      <protection locked="0"/>
    </xf>
    <xf numFmtId="0" fontId="20" fillId="0" borderId="22" xfId="0" applyFont="1" applyBorder="1" applyAlignment="1" applyProtection="1">
      <alignment vertical="center"/>
      <protection locked="0"/>
    </xf>
    <xf numFmtId="0" fontId="47" fillId="0" borderId="22" xfId="0" applyFont="1" applyBorder="1" applyAlignment="1" applyProtection="1">
      <alignment horizontal="right" vertical="center"/>
      <protection locked="0"/>
    </xf>
    <xf numFmtId="0" fontId="46" fillId="0" borderId="22" xfId="0" applyFont="1" applyBorder="1" applyAlignment="1" applyProtection="1">
      <alignment horizontal="left" vertical="center"/>
      <protection locked="0"/>
    </xf>
    <xf numFmtId="0" fontId="54" fillId="0" borderId="0" xfId="0" applyFont="1" applyAlignment="1">
      <alignment horizontal="left"/>
    </xf>
    <xf numFmtId="0" fontId="12" fillId="4" borderId="29" xfId="7" applyFont="1" applyFill="1" applyBorder="1" applyAlignment="1">
      <alignment horizontal="left" vertical="center" indent="1"/>
    </xf>
    <xf numFmtId="0" fontId="12" fillId="4" borderId="30" xfId="7" applyFont="1" applyFill="1" applyBorder="1" applyAlignment="1">
      <alignment horizontal="left" vertical="center" indent="1"/>
    </xf>
    <xf numFmtId="0" fontId="12" fillId="4" borderId="31" xfId="7" applyFont="1" applyFill="1" applyBorder="1" applyAlignment="1">
      <alignment horizontal="left" vertical="center" indent="1"/>
    </xf>
    <xf numFmtId="0" fontId="13" fillId="0" borderId="32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vertical="top" wrapText="1"/>
    </xf>
    <xf numFmtId="0" fontId="13" fillId="0" borderId="33" xfId="7" applyFont="1" applyBorder="1" applyAlignment="1">
      <alignment horizontal="left" vertical="top" wrapText="1"/>
    </xf>
    <xf numFmtId="0" fontId="13" fillId="5" borderId="0" xfId="7" applyFont="1" applyFill="1" applyBorder="1" applyAlignment="1">
      <alignment horizontal="left" vertical="center"/>
    </xf>
    <xf numFmtId="0" fontId="13" fillId="0" borderId="32" xfId="7" applyFont="1" applyBorder="1" applyAlignment="1">
      <alignment horizontal="left" vertical="top" wrapText="1" indent="5"/>
    </xf>
    <xf numFmtId="0" fontId="13" fillId="0" borderId="0" xfId="7" applyFont="1" applyBorder="1" applyAlignment="1">
      <alignment horizontal="left" vertical="top" wrapText="1" indent="5"/>
    </xf>
    <xf numFmtId="0" fontId="17" fillId="0" borderId="0" xfId="7" applyFont="1" applyBorder="1" applyAlignment="1">
      <alignment horizontal="left" vertical="top" wrapText="1" indent="5"/>
    </xf>
    <xf numFmtId="0" fontId="21" fillId="7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4" fillId="8" borderId="2" xfId="5" applyFont="1" applyFill="1" applyBorder="1" applyAlignment="1" applyProtection="1">
      <alignment horizontal="left" vertical="center"/>
    </xf>
    <xf numFmtId="0" fontId="24" fillId="8" borderId="2" xfId="5" applyFont="1" applyFill="1" applyBorder="1" applyAlignment="1" applyProtection="1">
      <alignment horizontal="left" vertical="center"/>
    </xf>
    <xf numFmtId="0" fontId="21" fillId="7" borderId="3" xfId="0" applyFont="1" applyFill="1" applyBorder="1" applyAlignment="1" applyProtection="1">
      <alignment horizontal="center" vertical="center"/>
      <protection locked="0"/>
    </xf>
    <xf numFmtId="0" fontId="21" fillId="7" borderId="4" xfId="0" applyFont="1" applyFill="1" applyBorder="1" applyAlignment="1" applyProtection="1">
      <alignment horizontal="center" vertical="center"/>
      <protection locked="0"/>
    </xf>
    <xf numFmtId="0" fontId="21" fillId="7" borderId="2" xfId="0" applyFont="1" applyFill="1" applyBorder="1" applyAlignment="1" applyProtection="1">
      <alignment horizontal="left" vertical="center" wrapText="1"/>
    </xf>
    <xf numFmtId="0" fontId="21" fillId="7" borderId="3" xfId="0" applyFont="1" applyFill="1" applyBorder="1" applyAlignment="1" applyProtection="1">
      <alignment horizontal="left" vertical="center" wrapText="1"/>
    </xf>
    <xf numFmtId="0" fontId="21" fillId="7" borderId="4" xfId="0" applyFont="1" applyFill="1" applyBorder="1" applyAlignment="1" applyProtection="1">
      <alignment horizontal="left" vertical="center" wrapText="1"/>
    </xf>
    <xf numFmtId="0" fontId="14" fillId="8" borderId="2" xfId="5" applyFont="1" applyFill="1" applyBorder="1" applyAlignment="1">
      <alignment horizontal="left" vertical="center"/>
      <protection locked="0"/>
    </xf>
    <xf numFmtId="0" fontId="24" fillId="8" borderId="2" xfId="5" applyFont="1" applyFill="1" applyBorder="1" applyAlignment="1">
      <alignment horizontal="left" vertical="center"/>
      <protection locked="0"/>
    </xf>
    <xf numFmtId="0" fontId="21" fillId="7" borderId="6" xfId="0" applyFont="1" applyFill="1" applyBorder="1" applyAlignment="1" applyProtection="1">
      <alignment horizontal="center" vertical="center"/>
      <protection locked="0"/>
    </xf>
    <xf numFmtId="0" fontId="21" fillId="7" borderId="3" xfId="0" applyFont="1" applyFill="1" applyBorder="1" applyAlignment="1" applyProtection="1">
      <alignment horizontal="left" vertical="center"/>
      <protection locked="0"/>
    </xf>
    <xf numFmtId="0" fontId="21" fillId="7" borderId="4" xfId="0" applyFont="1" applyFill="1" applyBorder="1" applyAlignment="1" applyProtection="1">
      <alignment horizontal="left" vertical="center"/>
      <protection locked="0"/>
    </xf>
    <xf numFmtId="0" fontId="22" fillId="8" borderId="17" xfId="0" applyFont="1" applyFill="1" applyBorder="1" applyAlignment="1" applyProtection="1">
      <alignment horizontal="center" vertical="center"/>
    </xf>
    <xf numFmtId="0" fontId="22" fillId="8" borderId="4" xfId="0" applyFont="1" applyFill="1" applyBorder="1" applyAlignment="1" applyProtection="1">
      <alignment horizontal="center" vertical="center"/>
    </xf>
    <xf numFmtId="49" fontId="59" fillId="0" borderId="0" xfId="8" applyNumberFormat="1" applyFont="1" applyAlignment="1" applyProtection="1">
      <alignment horizontal="left" vertical="top" wrapText="1"/>
      <protection locked="0"/>
    </xf>
    <xf numFmtId="0" fontId="42" fillId="0" borderId="0" xfId="8" applyFont="1" applyBorder="1" applyAlignment="1" applyProtection="1">
      <alignment horizontal="left" wrapText="1"/>
    </xf>
    <xf numFmtId="0" fontId="14" fillId="8" borderId="3" xfId="5" applyFont="1" applyFill="1" applyBorder="1" applyAlignment="1" applyProtection="1">
      <alignment horizontal="center" vertical="center"/>
    </xf>
    <xf numFmtId="0" fontId="14" fillId="8" borderId="17" xfId="5" applyFont="1" applyFill="1" applyBorder="1" applyAlignment="1" applyProtection="1">
      <alignment horizontal="center" vertical="center"/>
    </xf>
    <xf numFmtId="0" fontId="14" fillId="8" borderId="4" xfId="5" applyFont="1" applyFill="1" applyBorder="1" applyAlignment="1" applyProtection="1">
      <alignment horizontal="center" vertical="center"/>
    </xf>
    <xf numFmtId="2" fontId="14" fillId="8" borderId="2" xfId="5" applyNumberFormat="1" applyFont="1" applyFill="1" applyBorder="1" applyAlignment="1" applyProtection="1">
      <alignment horizontal="center" vertical="center" wrapText="1"/>
    </xf>
    <xf numFmtId="2" fontId="14" fillId="15" borderId="3" xfId="5" applyNumberFormat="1" applyFont="1" applyFill="1" applyBorder="1" applyAlignment="1" applyProtection="1">
      <alignment horizontal="center" vertical="center" wrapText="1"/>
    </xf>
    <xf numFmtId="2" fontId="14" fillId="15" borderId="17" xfId="5" applyNumberFormat="1" applyFont="1" applyFill="1" applyBorder="1" applyAlignment="1" applyProtection="1">
      <alignment horizontal="center" vertical="center" wrapText="1"/>
    </xf>
    <xf numFmtId="2" fontId="14" fillId="15" borderId="4" xfId="5" applyNumberFormat="1" applyFont="1" applyFill="1" applyBorder="1" applyAlignment="1" applyProtection="1">
      <alignment horizontal="center" vertical="center" wrapText="1"/>
    </xf>
    <xf numFmtId="0" fontId="55" fillId="15" borderId="3" xfId="5" quotePrefix="1" applyFont="1" applyFill="1" applyBorder="1" applyAlignment="1" applyProtection="1">
      <alignment horizontal="center" vertical="center"/>
    </xf>
    <xf numFmtId="0" fontId="55" fillId="15" borderId="17" xfId="5" quotePrefix="1" applyFont="1" applyFill="1" applyBorder="1" applyAlignment="1" applyProtection="1">
      <alignment horizontal="center" vertical="center"/>
    </xf>
    <xf numFmtId="0" fontId="55" fillId="15" borderId="4" xfId="5" quotePrefix="1" applyFont="1" applyFill="1" applyBorder="1" applyAlignment="1" applyProtection="1">
      <alignment horizontal="center" vertical="center"/>
    </xf>
    <xf numFmtId="0" fontId="14" fillId="8" borderId="2" xfId="5" applyFont="1" applyFill="1" applyBorder="1" applyAlignment="1" applyProtection="1">
      <alignment horizontal="left" vertical="top" wrapText="1"/>
    </xf>
    <xf numFmtId="0" fontId="14" fillId="8" borderId="2" xfId="5" applyFont="1" applyFill="1" applyBorder="1" applyAlignment="1" applyProtection="1">
      <alignment horizontal="left" vertical="top"/>
    </xf>
    <xf numFmtId="0" fontId="14" fillId="8" borderId="2" xfId="5" applyFont="1" applyFill="1" applyBorder="1" applyAlignment="1" applyProtection="1">
      <alignment horizontal="left" vertical="center"/>
      <protection locked="0"/>
    </xf>
    <xf numFmtId="0" fontId="45" fillId="8" borderId="5" xfId="5" applyFont="1" applyFill="1" applyBorder="1" applyAlignment="1">
      <alignment horizontal="center" vertical="center" wrapText="1"/>
      <protection locked="0"/>
    </xf>
    <xf numFmtId="0" fontId="45" fillId="8" borderId="40" xfId="5" applyFont="1" applyFill="1" applyBorder="1" applyAlignment="1">
      <alignment horizontal="center" vertical="center" wrapText="1"/>
      <protection locked="0"/>
    </xf>
    <xf numFmtId="0" fontId="24" fillId="8" borderId="3" xfId="5" applyFont="1" applyFill="1" applyBorder="1" applyAlignment="1">
      <alignment horizontal="center" vertical="center" wrapText="1"/>
      <protection locked="0"/>
    </xf>
    <xf numFmtId="0" fontId="24" fillId="8" borderId="17" xfId="5" applyFont="1" applyFill="1" applyBorder="1" applyAlignment="1">
      <alignment horizontal="center" vertical="center" wrapText="1"/>
      <protection locked="0"/>
    </xf>
    <xf numFmtId="0" fontId="24" fillId="8" borderId="4" xfId="5" applyFont="1" applyFill="1" applyBorder="1" applyAlignment="1">
      <alignment horizontal="center" vertical="center" wrapText="1"/>
      <protection locked="0"/>
    </xf>
    <xf numFmtId="0" fontId="24" fillId="8" borderId="3" xfId="5" applyFont="1" applyFill="1" applyBorder="1" applyAlignment="1">
      <alignment horizontal="center" vertical="center"/>
      <protection locked="0"/>
    </xf>
    <xf numFmtId="0" fontId="24" fillId="8" borderId="17" xfId="5" applyFont="1" applyFill="1" applyBorder="1" applyAlignment="1">
      <alignment horizontal="center" vertical="center"/>
      <protection locked="0"/>
    </xf>
    <xf numFmtId="0" fontId="24" fillId="8" borderId="4" xfId="5" applyFont="1" applyFill="1" applyBorder="1" applyAlignment="1">
      <alignment horizontal="center" vertical="center"/>
      <protection locked="0"/>
    </xf>
    <xf numFmtId="0" fontId="24" fillId="8" borderId="44" xfId="5" applyFont="1" applyFill="1" applyBorder="1" applyAlignment="1">
      <alignment horizontal="center" vertical="center"/>
      <protection locked="0"/>
    </xf>
    <xf numFmtId="0" fontId="24" fillId="8" borderId="42" xfId="5" applyFont="1" applyFill="1" applyBorder="1" applyAlignment="1">
      <alignment horizontal="center" vertical="center"/>
      <protection locked="0"/>
    </xf>
    <xf numFmtId="0" fontId="24" fillId="8" borderId="5" xfId="5" applyFont="1" applyFill="1" applyBorder="1" applyAlignment="1">
      <alignment horizontal="center" vertical="center"/>
      <protection locked="0"/>
    </xf>
    <xf numFmtId="0" fontId="24" fillId="8" borderId="40" xfId="5" applyFont="1" applyFill="1" applyBorder="1" applyAlignment="1">
      <alignment horizontal="center" vertical="center"/>
      <protection locked="0"/>
    </xf>
    <xf numFmtId="171" fontId="0" fillId="0" borderId="0" xfId="0" applyNumberFormat="1" applyProtection="1">
      <protection locked="0"/>
    </xf>
    <xf numFmtId="171" fontId="18" fillId="13" borderId="3" xfId="6" applyNumberFormat="1" applyFont="1" applyFill="1" applyBorder="1" applyAlignment="1" applyProtection="1">
      <alignment vertical="center"/>
      <protection locked="0"/>
    </xf>
    <xf numFmtId="171" fontId="18" fillId="13" borderId="10" xfId="6" applyNumberFormat="1" applyFont="1" applyFill="1" applyBorder="1" applyAlignment="1" applyProtection="1">
      <alignment vertical="center"/>
      <protection locked="0"/>
    </xf>
    <xf numFmtId="171" fontId="18" fillId="13" borderId="11" xfId="6" applyNumberFormat="1" applyFont="1" applyFill="1" applyBorder="1" applyAlignment="1" applyProtection="1">
      <alignment vertical="center"/>
      <protection locked="0"/>
    </xf>
    <xf numFmtId="171" fontId="18" fillId="13" borderId="14" xfId="6" applyNumberFormat="1" applyFont="1" applyFill="1" applyBorder="1" applyAlignment="1" applyProtection="1">
      <alignment vertical="center"/>
      <protection locked="0"/>
    </xf>
    <xf numFmtId="171" fontId="18" fillId="13" borderId="15" xfId="6" applyNumberFormat="1" applyFont="1" applyFill="1" applyBorder="1" applyAlignment="1" applyProtection="1">
      <alignment vertical="center"/>
      <protection locked="0"/>
    </xf>
    <xf numFmtId="171" fontId="18" fillId="13" borderId="16" xfId="6" applyNumberFormat="1" applyFont="1" applyFill="1" applyBorder="1" applyAlignment="1" applyProtection="1">
      <alignment vertical="center"/>
      <protection locked="0"/>
    </xf>
    <xf numFmtId="170" fontId="58" fillId="0" borderId="0" xfId="0" applyNumberFormat="1" applyFont="1" applyProtection="1">
      <protection locked="0"/>
    </xf>
    <xf numFmtId="170" fontId="58" fillId="0" borderId="0" xfId="12" applyNumberFormat="1" applyFont="1" applyFill="1" applyBorder="1" applyAlignment="1" applyProtection="1">
      <alignment vertical="center"/>
      <protection locked="0"/>
    </xf>
    <xf numFmtId="170" fontId="58" fillId="0" borderId="4" xfId="12" applyNumberFormat="1" applyFont="1" applyFill="1" applyBorder="1" applyAlignment="1" applyProtection="1">
      <alignment vertical="center"/>
      <protection locked="0"/>
    </xf>
    <xf numFmtId="170" fontId="58" fillId="0" borderId="10" xfId="12" applyNumberFormat="1" applyFont="1" applyFill="1" applyBorder="1" applyAlignment="1" applyProtection="1">
      <alignment vertical="center"/>
      <protection locked="0"/>
    </xf>
    <xf numFmtId="170" fontId="58" fillId="0" borderId="18" xfId="12" applyNumberFormat="1" applyFont="1" applyFill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49" fontId="17" fillId="0" borderId="0" xfId="5" applyNumberFormat="1" applyFont="1" applyFill="1" applyBorder="1" applyAlignment="1" applyProtection="1">
      <alignment horizontal="left" vertical="top" wrapText="1" indent="2"/>
    </xf>
    <xf numFmtId="0" fontId="18" fillId="12" borderId="3" xfId="6" applyNumberFormat="1" applyFont="1" applyFill="1" applyBorder="1" applyAlignment="1" applyProtection="1">
      <alignment horizontal="left" vertical="center"/>
      <protection locked="0"/>
    </xf>
    <xf numFmtId="0" fontId="71" fillId="0" borderId="32" xfId="7" applyFont="1" applyBorder="1" applyAlignment="1">
      <alignment horizontal="left" vertical="top" wrapText="1"/>
    </xf>
    <xf numFmtId="0" fontId="71" fillId="0" borderId="0" xfId="7" applyFont="1" applyBorder="1" applyAlignment="1">
      <alignment horizontal="left" vertical="top" wrapText="1"/>
    </xf>
    <xf numFmtId="9" fontId="18" fillId="6" borderId="10" xfId="2" applyFont="1" applyFill="1" applyBorder="1" applyAlignment="1" applyProtection="1">
      <alignment vertical="center"/>
    </xf>
    <xf numFmtId="9" fontId="18" fillId="6" borderId="18" xfId="2" applyFont="1" applyFill="1" applyBorder="1" applyAlignment="1" applyProtection="1">
      <alignment vertical="center"/>
    </xf>
    <xf numFmtId="2" fontId="21" fillId="7" borderId="3" xfId="2" applyNumberFormat="1" applyFont="1" applyFill="1" applyBorder="1" applyAlignment="1" applyProtection="1">
      <alignment horizontal="right" vertical="center" indent="1"/>
    </xf>
    <xf numFmtId="2" fontId="18" fillId="6" borderId="10" xfId="2" applyNumberFormat="1" applyFont="1" applyFill="1" applyBorder="1" applyAlignment="1" applyProtection="1">
      <alignment vertical="center"/>
    </xf>
    <xf numFmtId="0" fontId="69" fillId="0" borderId="0" xfId="0" applyFont="1"/>
    <xf numFmtId="170" fontId="69" fillId="0" borderId="0" xfId="0" applyNumberFormat="1" applyFont="1" applyAlignment="1">
      <alignment vertical="top"/>
    </xf>
    <xf numFmtId="170" fontId="69" fillId="0" borderId="0" xfId="0" applyNumberFormat="1" applyFont="1"/>
    <xf numFmtId="0" fontId="69" fillId="0" borderId="0" xfId="0" applyFont="1" applyProtection="1">
      <protection locked="0"/>
    </xf>
    <xf numFmtId="0" fontId="72" fillId="0" borderId="0" xfId="0" applyFont="1"/>
    <xf numFmtId="0" fontId="72" fillId="0" borderId="0" xfId="0" applyFont="1" applyAlignment="1">
      <alignment horizontal="left"/>
    </xf>
    <xf numFmtId="170" fontId="70" fillId="0" borderId="0" xfId="0" applyNumberFormat="1" applyFont="1" applyAlignment="1">
      <alignment vertical="top"/>
    </xf>
    <xf numFmtId="170" fontId="70" fillId="0" borderId="0" xfId="0" applyNumberFormat="1" applyFont="1"/>
    <xf numFmtId="3" fontId="18" fillId="10" borderId="3" xfId="6" applyNumberFormat="1" applyFont="1" applyFill="1" applyBorder="1" applyAlignment="1" applyProtection="1">
      <alignment vertical="center"/>
    </xf>
    <xf numFmtId="3" fontId="18" fillId="10" borderId="10" xfId="6" applyNumberFormat="1" applyFont="1" applyFill="1" applyBorder="1" applyAlignment="1" applyProtection="1">
      <alignment vertical="center"/>
    </xf>
    <xf numFmtId="3" fontId="18" fillId="10" borderId="11" xfId="6" applyNumberFormat="1" applyFont="1" applyFill="1" applyBorder="1" applyAlignment="1" applyProtection="1">
      <alignment vertical="center"/>
    </xf>
    <xf numFmtId="3" fontId="38" fillId="0" borderId="12" xfId="8" applyNumberFormat="1" applyFont="1" applyBorder="1" applyAlignment="1" applyProtection="1">
      <alignment horizontal="left" vertical="center" wrapText="1" indent="1"/>
    </xf>
    <xf numFmtId="3" fontId="38" fillId="0" borderId="13" xfId="8" applyNumberFormat="1" applyFont="1" applyBorder="1" applyAlignment="1" applyProtection="1">
      <alignment horizontal="left" vertical="center" wrapText="1" indent="1"/>
    </xf>
    <xf numFmtId="3" fontId="17" fillId="3" borderId="18" xfId="5" applyNumberFormat="1" applyFont="1" applyFill="1" applyBorder="1" applyAlignment="1" applyProtection="1">
      <alignment horizontal="right" vertical="center"/>
    </xf>
    <xf numFmtId="3" fontId="17" fillId="3" borderId="11" xfId="5" applyNumberFormat="1" applyFont="1" applyFill="1" applyBorder="1" applyAlignment="1" applyProtection="1">
      <alignment horizontal="right" vertical="center"/>
    </xf>
    <xf numFmtId="2" fontId="21" fillId="7" borderId="53" xfId="2" applyNumberFormat="1" applyFont="1" applyFill="1" applyBorder="1" applyAlignment="1" applyProtection="1">
      <alignment horizontal="right" vertical="center" indent="1"/>
    </xf>
    <xf numFmtId="2" fontId="21" fillId="7" borderId="54" xfId="2" applyNumberFormat="1" applyFont="1" applyFill="1" applyBorder="1" applyAlignment="1" applyProtection="1">
      <alignment horizontal="right" vertical="center" indent="1"/>
    </xf>
    <xf numFmtId="2" fontId="21" fillId="7" borderId="16" xfId="2" applyNumberFormat="1" applyFont="1" applyFill="1" applyBorder="1" applyAlignment="1" applyProtection="1">
      <alignment horizontal="right" vertical="center" indent="1"/>
    </xf>
    <xf numFmtId="3" fontId="18" fillId="6" borderId="55" xfId="6" applyNumberFormat="1" applyFont="1" applyFill="1" applyBorder="1" applyAlignment="1" applyProtection="1">
      <alignment vertical="center"/>
    </xf>
    <xf numFmtId="171" fontId="18" fillId="12" borderId="18" xfId="1" applyNumberFormat="1" applyFont="1" applyFill="1" applyBorder="1" applyAlignment="1" applyProtection="1">
      <alignment vertical="center"/>
      <protection locked="0"/>
    </xf>
    <xf numFmtId="171" fontId="21" fillId="7" borderId="49" xfId="0" applyNumberFormat="1" applyFont="1" applyFill="1" applyBorder="1" applyAlignment="1" applyProtection="1">
      <alignment horizontal="center" vertical="center"/>
      <protection locked="0"/>
    </xf>
    <xf numFmtId="171" fontId="21" fillId="7" borderId="56" xfId="0" applyNumberFormat="1" applyFont="1" applyFill="1" applyBorder="1" applyAlignment="1" applyProtection="1">
      <alignment horizontal="center" vertical="center"/>
      <protection locked="0"/>
    </xf>
    <xf numFmtId="171" fontId="21" fillId="7" borderId="53" xfId="0" applyNumberFormat="1" applyFont="1" applyFill="1" applyBorder="1" applyAlignment="1" applyProtection="1">
      <alignment horizontal="center" vertical="center"/>
      <protection locked="0"/>
    </xf>
    <xf numFmtId="171" fontId="21" fillId="7" borderId="54" xfId="0" applyNumberFormat="1" applyFont="1" applyFill="1" applyBorder="1" applyAlignment="1" applyProtection="1">
      <alignment horizontal="center" vertical="center"/>
      <protection locked="0"/>
    </xf>
    <xf numFmtId="171" fontId="21" fillId="7" borderId="16" xfId="0" applyNumberFormat="1" applyFont="1" applyFill="1" applyBorder="1" applyAlignment="1" applyProtection="1">
      <alignment horizontal="center" vertical="center"/>
      <protection locked="0"/>
    </xf>
    <xf numFmtId="171" fontId="18" fillId="12" borderId="55" xfId="1" applyNumberFormat="1" applyFont="1" applyFill="1" applyBorder="1" applyAlignment="1" applyProtection="1">
      <alignment vertical="center"/>
      <protection locked="0"/>
    </xf>
    <xf numFmtId="171" fontId="17" fillId="6" borderId="3" xfId="5" applyNumberFormat="1" applyFont="1" applyFill="1" applyBorder="1" applyAlignment="1" applyProtection="1">
      <alignment horizontal="left" vertical="top" wrapText="1"/>
      <protection locked="0"/>
    </xf>
    <xf numFmtId="171" fontId="21" fillId="7" borderId="10" xfId="1" applyNumberFormat="1" applyFont="1" applyFill="1" applyBorder="1" applyAlignment="1" applyProtection="1">
      <alignment horizontal="center" vertical="center"/>
    </xf>
    <xf numFmtId="171" fontId="21" fillId="7" borderId="11" xfId="1" applyNumberFormat="1" applyFont="1" applyFill="1" applyBorder="1" applyAlignment="1" applyProtection="1">
      <alignment horizontal="center" vertical="center"/>
    </xf>
    <xf numFmtId="171" fontId="17" fillId="6" borderId="10" xfId="5" applyNumberFormat="1" applyFont="1" applyFill="1" applyBorder="1" applyAlignment="1" applyProtection="1">
      <alignment horizontal="left" vertical="top" wrapText="1"/>
      <protection locked="0"/>
    </xf>
    <xf numFmtId="171" fontId="17" fillId="6" borderId="11" xfId="5" applyNumberFormat="1" applyFont="1" applyFill="1" applyBorder="1" applyAlignment="1" applyProtection="1">
      <alignment horizontal="left" vertical="top" wrapText="1"/>
      <protection locked="0"/>
    </xf>
    <xf numFmtId="172" fontId="18" fillId="12" borderId="18" xfId="6" applyNumberFormat="1" applyFont="1" applyFill="1" applyBorder="1" applyAlignment="1" applyProtection="1">
      <alignment vertical="center"/>
      <protection locked="0"/>
    </xf>
    <xf numFmtId="0" fontId="0" fillId="0" borderId="12" xfId="0" applyBorder="1" applyProtection="1">
      <protection locked="0"/>
    </xf>
    <xf numFmtId="0" fontId="21" fillId="7" borderId="18" xfId="0" applyFont="1" applyFill="1" applyBorder="1" applyAlignment="1" applyProtection="1">
      <alignment horizontal="left" vertical="center" indent="1"/>
      <protection locked="0"/>
    </xf>
    <xf numFmtId="0" fontId="0" fillId="0" borderId="12" xfId="0" applyBorder="1" applyProtection="1"/>
    <xf numFmtId="49" fontId="17" fillId="3" borderId="18" xfId="5" applyNumberFormat="1" applyFont="1" applyFill="1" applyBorder="1" applyAlignment="1" applyProtection="1">
      <alignment horizontal="right" vertical="top"/>
    </xf>
    <xf numFmtId="49" fontId="17" fillId="3" borderId="11" xfId="5" applyNumberFormat="1" applyFont="1" applyFill="1" applyBorder="1" applyAlignment="1" applyProtection="1">
      <alignment horizontal="right" vertical="top"/>
    </xf>
    <xf numFmtId="172" fontId="18" fillId="12" borderId="11" xfId="6" applyNumberFormat="1" applyFont="1" applyFill="1" applyBorder="1" applyAlignment="1" applyProtection="1">
      <alignment vertical="center"/>
      <protection locked="0"/>
    </xf>
    <xf numFmtId="172" fontId="18" fillId="0" borderId="57" xfId="6" applyNumberFormat="1" applyFont="1" applyBorder="1" applyAlignment="1" applyProtection="1">
      <alignment vertical="center"/>
    </xf>
    <xf numFmtId="49" fontId="17" fillId="3" borderId="10" xfId="5" applyNumberFormat="1" applyFont="1" applyFill="1" applyBorder="1" applyAlignment="1" applyProtection="1">
      <alignment horizontal="right" vertical="center"/>
    </xf>
    <xf numFmtId="49" fontId="17" fillId="3" borderId="11" xfId="5" applyNumberFormat="1" applyFont="1" applyFill="1" applyBorder="1" applyAlignment="1" applyProtection="1">
      <alignment horizontal="right" vertical="center"/>
    </xf>
    <xf numFmtId="172" fontId="16" fillId="0" borderId="12" xfId="6" applyNumberFormat="1" applyFont="1" applyBorder="1" applyAlignment="1" applyProtection="1">
      <alignment vertical="center"/>
    </xf>
    <xf numFmtId="0" fontId="21" fillId="7" borderId="18" xfId="0" applyFont="1" applyFill="1" applyBorder="1" applyAlignment="1" applyProtection="1">
      <alignment horizontal="left" vertical="center"/>
    </xf>
    <xf numFmtId="0" fontId="21" fillId="7" borderId="11" xfId="0" applyFont="1" applyFill="1" applyBorder="1" applyAlignment="1" applyProtection="1">
      <alignment horizontal="left" vertical="center"/>
    </xf>
    <xf numFmtId="172" fontId="16" fillId="0" borderId="57" xfId="6" applyNumberFormat="1" applyFont="1" applyBorder="1" applyAlignment="1" applyProtection="1">
      <alignment vertical="center"/>
    </xf>
    <xf numFmtId="49" fontId="17" fillId="3" borderId="18" xfId="5" applyNumberFormat="1" applyFont="1" applyFill="1" applyBorder="1" applyAlignment="1" applyProtection="1">
      <alignment horizontal="right" vertical="center"/>
    </xf>
    <xf numFmtId="172" fontId="18" fillId="0" borderId="18" xfId="6" applyNumberFormat="1" applyFont="1" applyBorder="1" applyAlignment="1" applyProtection="1">
      <alignment vertical="center"/>
    </xf>
    <xf numFmtId="172" fontId="0" fillId="0" borderId="12" xfId="0" applyNumberFormat="1" applyBorder="1" applyProtection="1"/>
    <xf numFmtId="172" fontId="0" fillId="0" borderId="0" xfId="0" applyNumberFormat="1" applyBorder="1" applyProtection="1"/>
    <xf numFmtId="172" fontId="0" fillId="0" borderId="13" xfId="0" applyNumberFormat="1" applyBorder="1" applyProtection="1"/>
    <xf numFmtId="172" fontId="16" fillId="0" borderId="18" xfId="6" applyNumberFormat="1" applyFont="1" applyBorder="1" applyAlignment="1" applyProtection="1">
      <alignment vertical="center"/>
    </xf>
    <xf numFmtId="172" fontId="16" fillId="0" borderId="53" xfId="6" applyNumberFormat="1" applyFont="1" applyBorder="1" applyAlignment="1" applyProtection="1">
      <alignment vertical="center"/>
    </xf>
    <xf numFmtId="172" fontId="16" fillId="0" borderId="54" xfId="6" applyNumberFormat="1" applyFont="1" applyBorder="1" applyAlignment="1" applyProtection="1">
      <alignment vertical="center"/>
    </xf>
    <xf numFmtId="172" fontId="16" fillId="0" borderId="16" xfId="6" applyNumberFormat="1" applyFont="1" applyBorder="1" applyAlignment="1" applyProtection="1">
      <alignment vertical="center"/>
    </xf>
    <xf numFmtId="3" fontId="17" fillId="3" borderId="6" xfId="5" applyNumberFormat="1" applyFont="1" applyFill="1" applyBorder="1" applyAlignment="1" applyProtection="1">
      <alignment horizontal="right" vertical="center"/>
    </xf>
    <xf numFmtId="3" fontId="18" fillId="12" borderId="45" xfId="6" applyNumberFormat="1" applyFont="1" applyFill="1" applyBorder="1" applyAlignment="1" applyProtection="1">
      <alignment vertical="center"/>
      <protection locked="0"/>
    </xf>
    <xf numFmtId="3" fontId="18" fillId="0" borderId="45" xfId="6" applyNumberFormat="1" applyFont="1" applyFill="1" applyBorder="1" applyAlignment="1" applyProtection="1">
      <alignment vertical="center"/>
      <protection locked="0"/>
    </xf>
    <xf numFmtId="3" fontId="18" fillId="6" borderId="6" xfId="6" applyNumberFormat="1" applyFont="1" applyFill="1" applyBorder="1" applyAlignment="1" applyProtection="1">
      <alignment vertical="center"/>
    </xf>
    <xf numFmtId="3" fontId="21" fillId="7" borderId="6" xfId="0" applyNumberFormat="1" applyFont="1" applyFill="1" applyBorder="1" applyAlignment="1" applyProtection="1">
      <alignment horizontal="right" vertical="center" indent="1"/>
    </xf>
    <xf numFmtId="3" fontId="18" fillId="6" borderId="42" xfId="6" applyNumberFormat="1" applyFont="1" applyFill="1" applyBorder="1" applyAlignment="1" applyProtection="1">
      <alignment vertical="center"/>
    </xf>
    <xf numFmtId="0" fontId="22" fillId="4" borderId="58" xfId="0" applyFont="1" applyFill="1" applyBorder="1" applyAlignment="1" applyProtection="1">
      <alignment horizontal="center" vertical="center"/>
    </xf>
    <xf numFmtId="0" fontId="23" fillId="4" borderId="59" xfId="0" applyFont="1" applyFill="1" applyBorder="1" applyAlignment="1" applyProtection="1">
      <alignment horizontal="center" vertical="center"/>
    </xf>
    <xf numFmtId="0" fontId="1" fillId="11" borderId="12" xfId="8" applyFill="1" applyBorder="1" applyProtection="1"/>
    <xf numFmtId="0" fontId="1" fillId="11" borderId="13" xfId="8" applyFill="1" applyBorder="1" applyProtection="1"/>
    <xf numFmtId="3" fontId="17" fillId="3" borderId="47" xfId="5" applyNumberFormat="1" applyFont="1" applyFill="1" applyBorder="1" applyAlignment="1" applyProtection="1">
      <alignment horizontal="right" vertical="center"/>
    </xf>
    <xf numFmtId="3" fontId="17" fillId="3" borderId="56" xfId="5" applyNumberFormat="1" applyFont="1" applyFill="1" applyBorder="1" applyAlignment="1" applyProtection="1">
      <alignment horizontal="right" vertical="center"/>
    </xf>
    <xf numFmtId="3" fontId="18" fillId="12" borderId="55" xfId="6" applyNumberFormat="1" applyFont="1" applyFill="1" applyBorder="1" applyAlignment="1" applyProtection="1">
      <alignment vertical="center"/>
      <protection locked="0"/>
    </xf>
    <xf numFmtId="3" fontId="18" fillId="12" borderId="41" xfId="6" applyNumberFormat="1" applyFont="1" applyFill="1" applyBorder="1" applyAlignment="1" applyProtection="1">
      <alignment vertical="center"/>
      <protection locked="0"/>
    </xf>
    <xf numFmtId="3" fontId="18" fillId="12" borderId="46" xfId="6" applyNumberFormat="1" applyFont="1" applyFill="1" applyBorder="1" applyAlignment="1" applyProtection="1">
      <alignment vertical="center"/>
      <protection locked="0"/>
    </xf>
    <xf numFmtId="3" fontId="21" fillId="7" borderId="10" xfId="0" applyNumberFormat="1" applyFont="1" applyFill="1" applyBorder="1" applyAlignment="1" applyProtection="1">
      <alignment horizontal="right" vertical="center" indent="1"/>
    </xf>
    <xf numFmtId="3" fontId="21" fillId="7" borderId="11" xfId="0" applyNumberFormat="1" applyFont="1" applyFill="1" applyBorder="1" applyAlignment="1" applyProtection="1">
      <alignment horizontal="right" vertical="center" indent="1"/>
    </xf>
    <xf numFmtId="3" fontId="18" fillId="0" borderId="41" xfId="6" applyNumberFormat="1" applyFont="1" applyFill="1" applyBorder="1" applyAlignment="1" applyProtection="1">
      <alignment vertical="center"/>
      <protection locked="0"/>
    </xf>
    <xf numFmtId="3" fontId="18" fillId="0" borderId="46" xfId="6" applyNumberFormat="1" applyFont="1" applyFill="1" applyBorder="1" applyAlignment="1" applyProtection="1">
      <alignment vertical="center"/>
      <protection locked="0"/>
    </xf>
    <xf numFmtId="3" fontId="18" fillId="6" borderId="56" xfId="6" applyNumberFormat="1" applyFont="1" applyFill="1" applyBorder="1" applyAlignment="1" applyProtection="1">
      <alignment vertical="center"/>
    </xf>
    <xf numFmtId="3" fontId="21" fillId="7" borderId="47" xfId="0" applyNumberFormat="1" applyFont="1" applyFill="1" applyBorder="1" applyAlignment="1" applyProtection="1">
      <alignment horizontal="right" vertical="center" indent="1"/>
    </xf>
    <xf numFmtId="3" fontId="21" fillId="7" borderId="56" xfId="0" applyNumberFormat="1" applyFont="1" applyFill="1" applyBorder="1" applyAlignment="1" applyProtection="1">
      <alignment horizontal="right" vertical="center" indent="1"/>
    </xf>
    <xf numFmtId="3" fontId="1" fillId="0" borderId="12" xfId="8" applyNumberFormat="1" applyBorder="1" applyAlignment="1" applyProtection="1">
      <alignment horizontal="right"/>
    </xf>
    <xf numFmtId="3" fontId="1" fillId="0" borderId="13" xfId="8" applyNumberFormat="1" applyBorder="1" applyAlignment="1" applyProtection="1">
      <alignment horizontal="right"/>
    </xf>
    <xf numFmtId="9" fontId="21" fillId="7" borderId="10" xfId="2" applyFont="1" applyFill="1" applyBorder="1" applyAlignment="1" applyProtection="1">
      <alignment horizontal="right" vertical="center" indent="1"/>
    </xf>
    <xf numFmtId="9" fontId="21" fillId="7" borderId="11" xfId="2" applyFont="1" applyFill="1" applyBorder="1" applyAlignment="1" applyProtection="1">
      <alignment horizontal="right" vertical="center" indent="1"/>
    </xf>
    <xf numFmtId="0" fontId="17" fillId="6" borderId="2" xfId="5" applyNumberFormat="1" applyFont="1" applyFill="1" applyBorder="1" applyAlignment="1" applyProtection="1">
      <alignment horizontal="left" vertical="top" wrapText="1" indent="3"/>
    </xf>
    <xf numFmtId="3" fontId="18" fillId="12" borderId="18" xfId="6" applyNumberFormat="1" applyFont="1" applyFill="1" applyBorder="1" applyAlignment="1" applyProtection="1">
      <alignment vertical="center"/>
      <protection locked="0"/>
    </xf>
    <xf numFmtId="170" fontId="21" fillId="13" borderId="53" xfId="12" applyNumberFormat="1" applyFont="1" applyFill="1" applyBorder="1" applyAlignment="1" applyProtection="1">
      <alignment horizontal="right" vertical="center" indent="1"/>
    </xf>
    <xf numFmtId="10" fontId="21" fillId="13" borderId="53" xfId="2" applyNumberFormat="1" applyFont="1" applyFill="1" applyBorder="1" applyAlignment="1" applyProtection="1">
      <alignment horizontal="right" vertical="center" indent="1"/>
    </xf>
    <xf numFmtId="3" fontId="21" fillId="7" borderId="17" xfId="0" applyNumberFormat="1" applyFont="1" applyFill="1" applyBorder="1" applyAlignment="1" applyProtection="1">
      <alignment horizontal="right" vertical="center" indent="1"/>
    </xf>
    <xf numFmtId="173" fontId="21" fillId="7" borderId="17" xfId="0" applyNumberFormat="1" applyFont="1" applyFill="1" applyBorder="1" applyAlignment="1" applyProtection="1">
      <alignment horizontal="right" vertical="center" indent="1"/>
    </xf>
    <xf numFmtId="3" fontId="21" fillId="7" borderId="18" xfId="0" applyNumberFormat="1" applyFont="1" applyFill="1" applyBorder="1" applyAlignment="1" applyProtection="1">
      <alignment horizontal="right" vertical="center" indent="1"/>
    </xf>
    <xf numFmtId="3" fontId="18" fillId="12" borderId="53" xfId="6" applyNumberFormat="1" applyFont="1" applyFill="1" applyBorder="1" applyAlignment="1" applyProtection="1">
      <alignment vertical="center"/>
      <protection locked="0"/>
    </xf>
    <xf numFmtId="3" fontId="18" fillId="12" borderId="54" xfId="6" applyNumberFormat="1" applyFont="1" applyFill="1" applyBorder="1" applyAlignment="1" applyProtection="1">
      <alignment vertical="center"/>
      <protection locked="0"/>
    </xf>
    <xf numFmtId="3" fontId="18" fillId="12" borderId="16" xfId="6" applyNumberFormat="1" applyFont="1" applyFill="1" applyBorder="1" applyAlignment="1" applyProtection="1">
      <alignment vertical="center"/>
      <protection locked="0"/>
    </xf>
    <xf numFmtId="3" fontId="21" fillId="7" borderId="17" xfId="2" applyNumberFormat="1" applyFont="1" applyFill="1" applyBorder="1" applyAlignment="1" applyProtection="1">
      <alignment horizontal="right" vertical="center" indent="1"/>
    </xf>
    <xf numFmtId="3" fontId="21" fillId="7" borderId="14" xfId="2" applyNumberFormat="1" applyFont="1" applyFill="1" applyBorder="1" applyAlignment="1" applyProtection="1">
      <alignment horizontal="right" vertical="center" indent="1"/>
    </xf>
    <xf numFmtId="3" fontId="21" fillId="7" borderId="60" xfId="2" applyNumberFormat="1" applyFont="1" applyFill="1" applyBorder="1" applyAlignment="1" applyProtection="1">
      <alignment horizontal="right" vertical="center" indent="1"/>
    </xf>
    <xf numFmtId="3" fontId="21" fillId="7" borderId="61" xfId="2" applyNumberFormat="1" applyFont="1" applyFill="1" applyBorder="1" applyAlignment="1" applyProtection="1">
      <alignment horizontal="right" vertical="center" indent="1"/>
    </xf>
    <xf numFmtId="3" fontId="18" fillId="0" borderId="3" xfId="6" applyNumberFormat="1" applyFont="1" applyFill="1" applyBorder="1" applyAlignment="1" applyProtection="1">
      <alignment vertical="center"/>
      <protection locked="0"/>
    </xf>
    <xf numFmtId="3" fontId="36" fillId="0" borderId="12" xfId="8" applyNumberFormat="1" applyFont="1" applyBorder="1" applyAlignment="1" applyProtection="1">
      <alignment horizontal="right" vertical="center" wrapText="1"/>
    </xf>
    <xf numFmtId="3" fontId="18" fillId="0" borderId="10" xfId="6" applyNumberFormat="1" applyFont="1" applyFill="1" applyBorder="1" applyAlignment="1" applyProtection="1">
      <alignment vertical="center"/>
      <protection locked="0"/>
    </xf>
    <xf numFmtId="3" fontId="18" fillId="0" borderId="11" xfId="6" applyNumberFormat="1" applyFont="1" applyFill="1" applyBorder="1" applyAlignment="1" applyProtection="1">
      <alignment vertical="center"/>
      <protection locked="0"/>
    </xf>
    <xf numFmtId="3" fontId="18" fillId="12" borderId="14" xfId="6" applyNumberFormat="1" applyFont="1" applyFill="1" applyBorder="1" applyAlignment="1" applyProtection="1">
      <alignment vertical="center"/>
      <protection locked="0"/>
    </xf>
    <xf numFmtId="3" fontId="18" fillId="12" borderId="15" xfId="6" applyNumberFormat="1" applyFont="1" applyFill="1" applyBorder="1" applyAlignment="1" applyProtection="1">
      <alignment vertical="center"/>
      <protection locked="0"/>
    </xf>
    <xf numFmtId="9" fontId="18" fillId="6" borderId="4" xfId="2" applyFont="1" applyFill="1" applyBorder="1" applyAlignment="1" applyProtection="1">
      <alignment vertical="center"/>
    </xf>
    <xf numFmtId="0" fontId="21" fillId="7" borderId="18" xfId="2" applyNumberFormat="1" applyFont="1" applyFill="1" applyBorder="1" applyAlignment="1" applyProtection="1">
      <alignment horizontal="center" vertical="center"/>
    </xf>
    <xf numFmtId="0" fontId="21" fillId="7" borderId="4" xfId="2" applyNumberFormat="1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right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8" applyFont="1" applyAlignment="1" applyProtection="1">
      <alignment horizontal="right"/>
      <protection locked="0"/>
    </xf>
    <xf numFmtId="0" fontId="1" fillId="0" borderId="0" xfId="8" applyAlignment="1" applyProtection="1">
      <alignment horizontal="left" vertical="center"/>
      <protection locked="0"/>
    </xf>
    <xf numFmtId="49" fontId="62" fillId="6" borderId="2" xfId="5" applyNumberFormat="1" applyFont="1" applyFill="1" applyBorder="1" applyAlignment="1" applyProtection="1">
      <alignment horizontal="left" vertical="center" wrapText="1"/>
      <protection locked="0"/>
    </xf>
    <xf numFmtId="9" fontId="18" fillId="6" borderId="2" xfId="2" applyFont="1" applyFill="1" applyBorder="1" applyAlignment="1" applyProtection="1">
      <alignment horizontal="right" vertical="center"/>
    </xf>
    <xf numFmtId="170" fontId="18" fillId="6" borderId="2" xfId="12" applyNumberFormat="1" applyFont="1" applyFill="1" applyBorder="1" applyAlignment="1" applyProtection="1">
      <alignment horizontal="right" vertical="center"/>
    </xf>
    <xf numFmtId="0" fontId="13" fillId="0" borderId="0" xfId="7" applyFont="1" applyBorder="1" applyAlignment="1" applyProtection="1">
      <alignment horizontal="left" vertical="top" wrapText="1" indent="5"/>
      <protection locked="0"/>
    </xf>
    <xf numFmtId="0" fontId="10" fillId="0" borderId="37" xfId="7" applyFont="1" applyBorder="1" applyProtection="1">
      <protection locked="0"/>
    </xf>
    <xf numFmtId="0" fontId="21" fillId="7" borderId="3" xfId="0" applyFont="1" applyFill="1" applyBorder="1" applyAlignment="1" applyProtection="1">
      <alignment horizontal="center" vertical="center"/>
    </xf>
    <xf numFmtId="0" fontId="21" fillId="7" borderId="4" xfId="0" applyFont="1" applyFill="1" applyBorder="1" applyAlignment="1" applyProtection="1">
      <alignment horizontal="center" vertical="center"/>
    </xf>
    <xf numFmtId="171" fontId="21" fillId="7" borderId="2" xfId="0" applyNumberFormat="1" applyFont="1" applyFill="1" applyBorder="1" applyAlignment="1" applyProtection="1">
      <alignment horizontal="center" vertical="center"/>
    </xf>
    <xf numFmtId="171" fontId="21" fillId="7" borderId="3" xfId="0" applyNumberFormat="1" applyFont="1" applyFill="1" applyBorder="1" applyAlignment="1" applyProtection="1">
      <alignment horizontal="center" vertical="center"/>
    </xf>
    <xf numFmtId="171" fontId="21" fillId="7" borderId="10" xfId="0" applyNumberFormat="1" applyFont="1" applyFill="1" applyBorder="1" applyAlignment="1" applyProtection="1">
      <alignment horizontal="center" vertical="center"/>
    </xf>
    <xf numFmtId="171" fontId="21" fillId="7" borderId="11" xfId="0" applyNumberFormat="1" applyFont="1" applyFill="1" applyBorder="1" applyAlignment="1" applyProtection="1">
      <alignment horizontal="center" vertical="center"/>
    </xf>
    <xf numFmtId="0" fontId="71" fillId="0" borderId="32" xfId="7" applyFont="1" applyBorder="1" applyAlignment="1">
      <alignment horizontal="left" vertical="top" wrapText="1"/>
    </xf>
    <xf numFmtId="0" fontId="71" fillId="0" borderId="0" xfId="7" applyFont="1" applyBorder="1" applyAlignment="1">
      <alignment horizontal="left" vertical="top" wrapText="1"/>
    </xf>
  </cellXfs>
  <cellStyles count="13">
    <cellStyle name="60% - Cor3" xfId="3" builtinId="40"/>
    <cellStyle name="Moeda" xfId="1" builtinId="4"/>
    <cellStyle name="Moeda 2" xfId="6" xr:uid="{B03C7DCC-131B-4972-98AA-1026882D7E9A}"/>
    <cellStyle name="Normal" xfId="0" builtinId="0"/>
    <cellStyle name="Normal 11 2" xfId="10" xr:uid="{1F7C85FA-AC97-4455-B6CB-E86D6A216FAB}"/>
    <cellStyle name="Normal 2" xfId="5" xr:uid="{04E972DF-43ED-4FBB-9753-50175D4A89BE}"/>
    <cellStyle name="Normal 3" xfId="4" xr:uid="{994BABAB-9752-4B7E-B27C-F8F34EA58CBF}"/>
    <cellStyle name="Normal 3 2" xfId="7" xr:uid="{12F81456-A5E3-4927-9DA1-AEA17F3F9CF6}"/>
    <cellStyle name="Normal 3 3" xfId="11" xr:uid="{CD7E25FC-6B16-43C7-A7DF-9C66CC7B54AF}"/>
    <cellStyle name="Normal 5" xfId="8" xr:uid="{82764946-6950-4CF2-961F-72647FBDC078}"/>
    <cellStyle name="Percentagem" xfId="2" builtinId="5"/>
    <cellStyle name="Percentagem 3" xfId="9" xr:uid="{695B98F6-92E1-4B30-89AB-D39A55702FF6}"/>
    <cellStyle name="Vírgula" xfId="12" builtinId="3"/>
  </cellStyles>
  <dxfs count="23"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1C374A"/>
      <color rgb="FFFF9B9B"/>
      <color rgb="FFFF0505"/>
      <color rgb="FFFFDC79"/>
      <color rgb="FF76933C"/>
      <color rgb="FFE5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&#225;cios Financeiros'!A1"/><Relationship Id="rId13" Type="http://schemas.openxmlformats.org/officeDocument/2006/relationships/hyperlink" Target="#Investimentos!A1"/><Relationship Id="rId3" Type="http://schemas.openxmlformats.org/officeDocument/2006/relationships/image" Target="../media/image2.svg"/><Relationship Id="rId7" Type="http://schemas.openxmlformats.org/officeDocument/2006/relationships/hyperlink" Target="#DFC!A1"/><Relationship Id="rId12" Type="http://schemas.openxmlformats.org/officeDocument/2006/relationships/hyperlink" Target="#Board!A1"/><Relationship Id="rId2" Type="http://schemas.openxmlformats.org/officeDocument/2006/relationships/image" Target="../media/image1.png"/><Relationship Id="rId1" Type="http://schemas.openxmlformats.org/officeDocument/2006/relationships/hyperlink" Target="#Instru&#231;&#245;es!A1"/><Relationship Id="rId6" Type="http://schemas.openxmlformats.org/officeDocument/2006/relationships/hyperlink" Target="#DR!A1"/><Relationship Id="rId11" Type="http://schemas.openxmlformats.org/officeDocument/2006/relationships/hyperlink" Target="#Outros!A1"/><Relationship Id="rId5" Type="http://schemas.openxmlformats.org/officeDocument/2006/relationships/hyperlink" Target="#BAL!A1"/><Relationship Id="rId15" Type="http://schemas.openxmlformats.org/officeDocument/2006/relationships/hyperlink" Target="#'Efici&#234;ncia operacional'!A60"/><Relationship Id="rId10" Type="http://schemas.openxmlformats.org/officeDocument/2006/relationships/hyperlink" Target="#'Mapa RH'!A1"/><Relationship Id="rId4" Type="http://schemas.openxmlformats.org/officeDocument/2006/relationships/hyperlink" Target="#Resumo!A1"/><Relationship Id="rId9" Type="http://schemas.openxmlformats.org/officeDocument/2006/relationships/hyperlink" Target="#RH!A1"/><Relationship Id="rId14" Type="http://schemas.openxmlformats.org/officeDocument/2006/relationships/hyperlink" Target="#'Efici&#234;ncia operacion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5.png"/><Relationship Id="rId7" Type="http://schemas.openxmlformats.org/officeDocument/2006/relationships/image" Target="../media/image8.sv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5" Type="http://schemas.openxmlformats.org/officeDocument/2006/relationships/hyperlink" Target="#&#205;ndice!A1"/><Relationship Id="rId10" Type="http://schemas.openxmlformats.org/officeDocument/2006/relationships/image" Target="../media/image11.png"/><Relationship Id="rId4" Type="http://schemas.openxmlformats.org/officeDocument/2006/relationships/image" Target="../media/image6.pn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hyperlink" Target="#&#205;ndice!A1"/><Relationship Id="rId6" Type="http://schemas.openxmlformats.org/officeDocument/2006/relationships/image" Target="../media/image13.svg"/><Relationship Id="rId5" Type="http://schemas.openxmlformats.org/officeDocument/2006/relationships/image" Target="../media/image12.png"/><Relationship Id="rId4" Type="http://schemas.openxmlformats.org/officeDocument/2006/relationships/hyperlink" Target="#Ajuda_Investimento2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19050</xdr:rowOff>
    </xdr:from>
    <xdr:to>
      <xdr:col>0</xdr:col>
      <xdr:colOff>476250</xdr:colOff>
      <xdr:row>4</xdr:row>
      <xdr:rowOff>38100</xdr:rowOff>
    </xdr:to>
    <xdr:pic>
      <xdr:nvPicPr>
        <xdr:cNvPr id="8" name="Gráfico 7" descr="Marca de Verificação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5DEA57-668A-43F6-AC88-5ACAA2B74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590550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5</xdr:row>
      <xdr:rowOff>14287</xdr:rowOff>
    </xdr:from>
    <xdr:to>
      <xdr:col>0</xdr:col>
      <xdr:colOff>476250</xdr:colOff>
      <xdr:row>6</xdr:row>
      <xdr:rowOff>33337</xdr:rowOff>
    </xdr:to>
    <xdr:pic>
      <xdr:nvPicPr>
        <xdr:cNvPr id="9" name="Gráfico 8" descr="Marca de Verificação com preenchimento sólid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C722CE1-1C44-41EE-AD5E-1AD582F92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966787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7</xdr:row>
      <xdr:rowOff>9524</xdr:rowOff>
    </xdr:from>
    <xdr:to>
      <xdr:col>0</xdr:col>
      <xdr:colOff>476250</xdr:colOff>
      <xdr:row>8</xdr:row>
      <xdr:rowOff>28574</xdr:rowOff>
    </xdr:to>
    <xdr:pic>
      <xdr:nvPicPr>
        <xdr:cNvPr id="10" name="Gráfico 9" descr="Marca de Verificação com preenchimento sólid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00139D9-FC50-4278-960D-86EFFD90A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1343024"/>
          <a:ext cx="209550" cy="209550"/>
        </a:xfrm>
        <a:prstGeom prst="rect">
          <a:avLst/>
        </a:prstGeom>
      </xdr:spPr>
    </xdr:pic>
    <xdr:clientData/>
  </xdr:twoCellAnchor>
  <xdr:oneCellAnchor>
    <xdr:from>
      <xdr:col>0</xdr:col>
      <xdr:colOff>266700</xdr:colOff>
      <xdr:row>9</xdr:row>
      <xdr:rowOff>4761</xdr:rowOff>
    </xdr:from>
    <xdr:ext cx="209550" cy="209550"/>
    <xdr:pic>
      <xdr:nvPicPr>
        <xdr:cNvPr id="11" name="Gráfico 10" descr="Marca de Verificação com preenchimento sólid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279D298-8114-4718-B978-BBC7933BC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1719261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10</xdr:row>
      <xdr:rowOff>190498</xdr:rowOff>
    </xdr:from>
    <xdr:ext cx="209550" cy="209550"/>
    <xdr:pic>
      <xdr:nvPicPr>
        <xdr:cNvPr id="12" name="Gráfico 11" descr="Marca de Verificação com preenchimento sólid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7826F3D-E172-48B9-A91D-152BF88DA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2095498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19</xdr:row>
      <xdr:rowOff>33335</xdr:rowOff>
    </xdr:from>
    <xdr:ext cx="209550" cy="209550"/>
    <xdr:pic>
      <xdr:nvPicPr>
        <xdr:cNvPr id="13" name="Gráfico 12" descr="Marca de Verificação com preenchimento sólid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BAB7749-E529-485B-970D-665D6BBBE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3271835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20</xdr:row>
      <xdr:rowOff>180972</xdr:rowOff>
    </xdr:from>
    <xdr:ext cx="209550" cy="209550"/>
    <xdr:pic>
      <xdr:nvPicPr>
        <xdr:cNvPr id="14" name="Gráfico 13" descr="Marca de Verificação com preenchimento sólid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0AA155E-2AE0-47CE-80F1-5042ACEE5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2847972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22</xdr:row>
      <xdr:rowOff>176209</xdr:rowOff>
    </xdr:from>
    <xdr:ext cx="209550" cy="209550"/>
    <xdr:pic>
      <xdr:nvPicPr>
        <xdr:cNvPr id="15" name="Gráfico 14" descr="Marca de Verificação com preenchimento sólid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1C68CC4-B0C7-4E1C-B530-88286A53D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3224209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25</xdr:row>
      <xdr:rowOff>0</xdr:rowOff>
    </xdr:from>
    <xdr:ext cx="209550" cy="209550"/>
    <xdr:pic>
      <xdr:nvPicPr>
        <xdr:cNvPr id="17" name="Gráfico 16" descr="Marca de Verificação com preenchimento sólid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069657C-648E-4977-879D-0BE984132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3976683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26</xdr:row>
      <xdr:rowOff>161925</xdr:rowOff>
    </xdr:from>
    <xdr:ext cx="209550" cy="209550"/>
    <xdr:pic>
      <xdr:nvPicPr>
        <xdr:cNvPr id="18" name="Gráfico 17" descr="Marca de Verificação com preenchimento sólid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9D4FA42-E09E-487D-8B38-01928B210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4352925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12</xdr:row>
      <xdr:rowOff>176210</xdr:rowOff>
    </xdr:from>
    <xdr:ext cx="209550" cy="209550"/>
    <xdr:pic>
      <xdr:nvPicPr>
        <xdr:cNvPr id="2" name="Gráfico 12" descr="Marca de Verificação com preenchimento sólid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CA90132A-3E61-A658-3880-F76422725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246221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14</xdr:row>
      <xdr:rowOff>185735</xdr:rowOff>
    </xdr:from>
    <xdr:ext cx="209550" cy="209550"/>
    <xdr:pic>
      <xdr:nvPicPr>
        <xdr:cNvPr id="3" name="Gráfico 12" descr="Marca de Verificação com preenchimento sólid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84EF9DB-7C90-932A-520B-49F8E74F7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2852735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276225</xdr:colOff>
      <xdr:row>17</xdr:row>
      <xdr:rowOff>14285</xdr:rowOff>
    </xdr:from>
    <xdr:ext cx="209550" cy="209550"/>
    <xdr:pic>
      <xdr:nvPicPr>
        <xdr:cNvPr id="4" name="Gráfico 12" descr="Marca de Verificação com preenchimento sólido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0900864-1382-C04A-17E1-969DF10A1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225" y="3252785"/>
          <a:ext cx="209550" cy="20955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493661</xdr:colOff>
      <xdr:row>0</xdr:row>
      <xdr:rowOff>176929</xdr:rowOff>
    </xdr:from>
    <xdr:ext cx="457200" cy="440403"/>
    <xdr:pic>
      <xdr:nvPicPr>
        <xdr:cNvPr id="2" name="Gráfico 2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FE8495-A881-4A83-B8AE-581821203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2997724" y="176929"/>
          <a:ext cx="457200" cy="440403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0</xdr:row>
      <xdr:rowOff>0</xdr:rowOff>
    </xdr:from>
    <xdr:to>
      <xdr:col>10</xdr:col>
      <xdr:colOff>552450</xdr:colOff>
      <xdr:row>2</xdr:row>
      <xdr:rowOff>73025</xdr:rowOff>
    </xdr:to>
    <xdr:pic>
      <xdr:nvPicPr>
        <xdr:cNvPr id="2" name="Gráfico 1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07BE49-FA80-4CAA-BC0B-C61169042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982200" y="0"/>
          <a:ext cx="447675" cy="4476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99733</xdr:colOff>
      <xdr:row>0</xdr:row>
      <xdr:rowOff>57150</xdr:rowOff>
    </xdr:from>
    <xdr:to>
      <xdr:col>23</xdr:col>
      <xdr:colOff>551890</xdr:colOff>
      <xdr:row>2</xdr:row>
      <xdr:rowOff>121170</xdr:rowOff>
    </xdr:to>
    <xdr:pic>
      <xdr:nvPicPr>
        <xdr:cNvPr id="2" name="Gráfico 1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4E2248-B5F2-4B50-8033-9ECC1E0DA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482483" y="57150"/>
          <a:ext cx="452157" cy="4450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0</xdr:row>
      <xdr:rowOff>0</xdr:rowOff>
    </xdr:from>
    <xdr:to>
      <xdr:col>8</xdr:col>
      <xdr:colOff>527050</xdr:colOff>
      <xdr:row>2</xdr:row>
      <xdr:rowOff>50800</xdr:rowOff>
    </xdr:to>
    <xdr:pic>
      <xdr:nvPicPr>
        <xdr:cNvPr id="2" name="Gráfico 1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AD8570-9881-4A7A-96B1-94D2FFA25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239375" y="0"/>
          <a:ext cx="447675" cy="447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42</xdr:row>
      <xdr:rowOff>76200</xdr:rowOff>
    </xdr:from>
    <xdr:to>
      <xdr:col>1</xdr:col>
      <xdr:colOff>1285977</xdr:colOff>
      <xdr:row>47</xdr:row>
      <xdr:rowOff>85839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6A75C40-BE58-4B7F-BA14-66281F772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7000875"/>
          <a:ext cx="733527" cy="819264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40</xdr:row>
      <xdr:rowOff>304800</xdr:rowOff>
    </xdr:from>
    <xdr:to>
      <xdr:col>6</xdr:col>
      <xdr:colOff>847725</xdr:colOff>
      <xdr:row>42</xdr:row>
      <xdr:rowOff>114349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09CFAAD-969B-467C-BE71-714E814CAA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6214"/>
        <a:stretch/>
      </xdr:blipFill>
      <xdr:spPr>
        <a:xfrm>
          <a:off x="600075" y="8505825"/>
          <a:ext cx="7962900" cy="295324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314326</xdr:colOff>
      <xdr:row>51</xdr:row>
      <xdr:rowOff>306390</xdr:rowOff>
    </xdr:from>
    <xdr:to>
      <xdr:col>3</xdr:col>
      <xdr:colOff>152400</xdr:colOff>
      <xdr:row>66</xdr:row>
      <xdr:rowOff>116615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D01118-7901-457B-AC63-A48807DAC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0101" y="9040815"/>
          <a:ext cx="4352924" cy="246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201868</xdr:colOff>
      <xdr:row>82</xdr:row>
      <xdr:rowOff>0</xdr:rowOff>
    </xdr:from>
    <xdr:to>
      <xdr:col>2</xdr:col>
      <xdr:colOff>1932611</xdr:colOff>
      <xdr:row>96</xdr:row>
      <xdr:rowOff>66676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D362E404-581F-4DEF-8963-B4B62DBC1E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" b="1606"/>
        <a:stretch/>
      </xdr:blipFill>
      <xdr:spPr>
        <a:xfrm>
          <a:off x="687643" y="14725650"/>
          <a:ext cx="4045318" cy="2333626"/>
        </a:xfrm>
        <a:prstGeom prst="rect">
          <a:avLst/>
        </a:prstGeom>
      </xdr:spPr>
    </xdr:pic>
    <xdr:clientData/>
  </xdr:twoCellAnchor>
  <xdr:twoCellAnchor editAs="oneCell">
    <xdr:from>
      <xdr:col>9</xdr:col>
      <xdr:colOff>276225</xdr:colOff>
      <xdr:row>0</xdr:row>
      <xdr:rowOff>0</xdr:rowOff>
    </xdr:from>
    <xdr:to>
      <xdr:col>9</xdr:col>
      <xdr:colOff>723900</xdr:colOff>
      <xdr:row>1</xdr:row>
      <xdr:rowOff>142875</xdr:rowOff>
    </xdr:to>
    <xdr:pic>
      <xdr:nvPicPr>
        <xdr:cNvPr id="10" name="Gráfico 9" descr="Casa com preenchimento sólid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2889C81-2CAE-40A9-9368-FC3312D17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9039225" y="0"/>
          <a:ext cx="447675" cy="447675"/>
        </a:xfrm>
        <a:prstGeom prst="rect">
          <a:avLst/>
        </a:prstGeom>
      </xdr:spPr>
    </xdr:pic>
    <xdr:clientData/>
  </xdr:twoCellAnchor>
  <xdr:twoCellAnchor>
    <xdr:from>
      <xdr:col>1</xdr:col>
      <xdr:colOff>400050</xdr:colOff>
      <xdr:row>69</xdr:row>
      <xdr:rowOff>76200</xdr:rowOff>
    </xdr:from>
    <xdr:to>
      <xdr:col>1</xdr:col>
      <xdr:colOff>1724210</xdr:colOff>
      <xdr:row>81</xdr:row>
      <xdr:rowOff>66675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F52BDEA6-A818-3399-03D3-4BD37322EC94}"/>
            </a:ext>
          </a:extLst>
        </xdr:cNvPr>
        <xdr:cNvGrpSpPr/>
      </xdr:nvGrpSpPr>
      <xdr:grpSpPr>
        <a:xfrm>
          <a:off x="885825" y="12696825"/>
          <a:ext cx="1324160" cy="1933575"/>
          <a:chOff x="5295900" y="12172950"/>
          <a:chExt cx="1324160" cy="1933575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10D9F7C7-3773-F382-29B0-70F84D63D3A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/>
          <a:srcRect t="7449" b="34393"/>
          <a:stretch/>
        </xdr:blipFill>
        <xdr:spPr>
          <a:xfrm>
            <a:off x="5295900" y="12172950"/>
            <a:ext cx="1324160" cy="1933575"/>
          </a:xfrm>
          <a:prstGeom prst="rect">
            <a:avLst/>
          </a:prstGeom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3E242384-8FAB-B7C9-EE89-4658C2A145FE}"/>
              </a:ext>
            </a:extLst>
          </xdr:cNvPr>
          <xdr:cNvSpPr/>
        </xdr:nvSpPr>
        <xdr:spPr>
          <a:xfrm>
            <a:off x="5334000" y="13363575"/>
            <a:ext cx="1228725" cy="304800"/>
          </a:xfrm>
          <a:prstGeom prst="rect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 editAs="oneCell">
    <xdr:from>
      <xdr:col>1</xdr:col>
      <xdr:colOff>1914525</xdr:colOff>
      <xdr:row>69</xdr:row>
      <xdr:rowOff>85725</xdr:rowOff>
    </xdr:from>
    <xdr:to>
      <xdr:col>2</xdr:col>
      <xdr:colOff>1352795</xdr:colOff>
      <xdr:row>79</xdr:row>
      <xdr:rowOff>114530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7048867-A4A8-D296-1819-6E2768D29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400300" y="12706350"/>
          <a:ext cx="1752845" cy="1648055"/>
        </a:xfrm>
        <a:prstGeom prst="rect">
          <a:avLst/>
        </a:prstGeom>
      </xdr:spPr>
    </xdr:pic>
    <xdr:clientData/>
  </xdr:twoCellAnchor>
  <xdr:twoCellAnchor>
    <xdr:from>
      <xdr:col>1</xdr:col>
      <xdr:colOff>266700</xdr:colOff>
      <xdr:row>102</xdr:row>
      <xdr:rowOff>98212</xdr:rowOff>
    </xdr:from>
    <xdr:to>
      <xdr:col>6</xdr:col>
      <xdr:colOff>9525</xdr:colOff>
      <xdr:row>126</xdr:row>
      <xdr:rowOff>139168</xdr:rowOff>
    </xdr:to>
    <xdr:grpSp>
      <xdr:nvGrpSpPr>
        <xdr:cNvPr id="14" name="Agrupar 13">
          <a:extLst>
            <a:ext uri="{FF2B5EF4-FFF2-40B4-BE49-F238E27FC236}">
              <a16:creationId xmlns:a16="http://schemas.microsoft.com/office/drawing/2014/main" id="{800CC15E-BABC-4F32-9D94-4A30C17AADCB}"/>
            </a:ext>
          </a:extLst>
        </xdr:cNvPr>
        <xdr:cNvGrpSpPr/>
      </xdr:nvGrpSpPr>
      <xdr:grpSpPr>
        <a:xfrm>
          <a:off x="752475" y="18195712"/>
          <a:ext cx="6972300" cy="3927156"/>
          <a:chOff x="600075" y="17871862"/>
          <a:chExt cx="6972300" cy="3927156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7782D49D-12A8-4E8F-8955-3E990EA78F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619125" y="17871862"/>
            <a:ext cx="6953250" cy="3927156"/>
          </a:xfrm>
          <a:prstGeom prst="rect">
            <a:avLst/>
          </a:prstGeom>
        </xdr:spPr>
      </xdr:pic>
      <xdr:sp macro="" textlink="">
        <xdr:nvSpPr>
          <xdr:cNvPr id="11" name="Retângulo 10">
            <a:extLst>
              <a:ext uri="{FF2B5EF4-FFF2-40B4-BE49-F238E27FC236}">
                <a16:creationId xmlns:a16="http://schemas.microsoft.com/office/drawing/2014/main" id="{27F56BDF-67EB-446E-BD7D-1A9DA987300A}"/>
              </a:ext>
            </a:extLst>
          </xdr:cNvPr>
          <xdr:cNvSpPr/>
        </xdr:nvSpPr>
        <xdr:spPr>
          <a:xfrm>
            <a:off x="600075" y="21126450"/>
            <a:ext cx="6972300" cy="647700"/>
          </a:xfrm>
          <a:prstGeom prst="rect">
            <a:avLst/>
          </a:prstGeom>
          <a:solidFill>
            <a:schemeClr val="accent1">
              <a:alpha val="41000"/>
            </a:schemeClr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PT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0</xdr:row>
      <xdr:rowOff>0</xdr:rowOff>
    </xdr:from>
    <xdr:to>
      <xdr:col>8</xdr:col>
      <xdr:colOff>723900</xdr:colOff>
      <xdr:row>1</xdr:row>
      <xdr:rowOff>142875</xdr:rowOff>
    </xdr:to>
    <xdr:pic>
      <xdr:nvPicPr>
        <xdr:cNvPr id="8" name="Gráfico 9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A3F875-5D5D-4C52-92D1-65BF613E7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39225" y="0"/>
          <a:ext cx="447675" cy="447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485775</xdr:colOff>
      <xdr:row>0</xdr:row>
      <xdr:rowOff>0</xdr:rowOff>
    </xdr:from>
    <xdr:to>
      <xdr:col>12</xdr:col>
      <xdr:colOff>933450</xdr:colOff>
      <xdr:row>2</xdr:row>
      <xdr:rowOff>66675</xdr:rowOff>
    </xdr:to>
    <xdr:pic>
      <xdr:nvPicPr>
        <xdr:cNvPr id="2" name="Gráfico 1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C5E15A-81E3-4871-BD89-6FF8E791F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182225" y="0"/>
          <a:ext cx="447675" cy="4476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504825</xdr:colOff>
      <xdr:row>0</xdr:row>
      <xdr:rowOff>0</xdr:rowOff>
    </xdr:from>
    <xdr:to>
      <xdr:col>12</xdr:col>
      <xdr:colOff>952500</xdr:colOff>
      <xdr:row>2</xdr:row>
      <xdr:rowOff>73025</xdr:rowOff>
    </xdr:to>
    <xdr:pic>
      <xdr:nvPicPr>
        <xdr:cNvPr id="2" name="Gráfico 1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B43A1F-DA10-4701-89E5-3B81370F2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353675" y="0"/>
          <a:ext cx="447675" cy="4476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419100</xdr:colOff>
      <xdr:row>0</xdr:row>
      <xdr:rowOff>0</xdr:rowOff>
    </xdr:from>
    <xdr:to>
      <xdr:col>12</xdr:col>
      <xdr:colOff>873125</xdr:colOff>
      <xdr:row>2</xdr:row>
      <xdr:rowOff>73025</xdr:rowOff>
    </xdr:to>
    <xdr:pic>
      <xdr:nvPicPr>
        <xdr:cNvPr id="2" name="Gráfico 1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4E2D46-E111-47C0-AC41-1ACA244A1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915525" y="0"/>
          <a:ext cx="447675" cy="447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0</xdr:rowOff>
    </xdr:from>
    <xdr:to>
      <xdr:col>11</xdr:col>
      <xdr:colOff>873125</xdr:colOff>
      <xdr:row>2</xdr:row>
      <xdr:rowOff>73025</xdr:rowOff>
    </xdr:to>
    <xdr:pic>
      <xdr:nvPicPr>
        <xdr:cNvPr id="2" name="Gráfico 1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75CAC0-51BF-49E2-B7B0-559B3E170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925675" y="0"/>
          <a:ext cx="454025" cy="454025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0</xdr:row>
      <xdr:rowOff>0</xdr:rowOff>
    </xdr:from>
    <xdr:to>
      <xdr:col>12</xdr:col>
      <xdr:colOff>438150</xdr:colOff>
      <xdr:row>2</xdr:row>
      <xdr:rowOff>99060</xdr:rowOff>
    </xdr:to>
    <xdr:pic>
      <xdr:nvPicPr>
        <xdr:cNvPr id="12" name="Gráfico 11" descr="Ajuda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A546C1-EAFA-4076-B967-5E4FBB5454B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6230600" y="0"/>
          <a:ext cx="400050" cy="4800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0</xdr:rowOff>
    </xdr:from>
    <xdr:to>
      <xdr:col>10</xdr:col>
      <xdr:colOff>549275</xdr:colOff>
      <xdr:row>2</xdr:row>
      <xdr:rowOff>73025</xdr:rowOff>
    </xdr:to>
    <xdr:pic>
      <xdr:nvPicPr>
        <xdr:cNvPr id="2" name="Gráfico 1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F0682B-104C-428D-96D4-3681A5A95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10650" y="0"/>
          <a:ext cx="447675" cy="4476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504825</xdr:colOff>
      <xdr:row>0</xdr:row>
      <xdr:rowOff>0</xdr:rowOff>
    </xdr:from>
    <xdr:to>
      <xdr:col>11</xdr:col>
      <xdr:colOff>342900</xdr:colOff>
      <xdr:row>2</xdr:row>
      <xdr:rowOff>66675</xdr:rowOff>
    </xdr:to>
    <xdr:pic>
      <xdr:nvPicPr>
        <xdr:cNvPr id="3" name="Gráfico 2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6F94BF-EDE1-41DD-A0A9-C43C2AED8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382250" y="0"/>
          <a:ext cx="44767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79CE4-4BC0-4683-A178-89788F1CB4CA}">
  <dimension ref="A1:H31"/>
  <sheetViews>
    <sheetView showGridLines="0" tabSelected="1" workbookViewId="0">
      <selection activeCell="I1" sqref="I1:I1048576"/>
    </sheetView>
  </sheetViews>
  <sheetFormatPr defaultColWidth="0" defaultRowHeight="15" zeroHeight="1" x14ac:dyDescent="0.25"/>
  <cols>
    <col min="1" max="1" width="9.140625" customWidth="1"/>
    <col min="2" max="2" width="15.140625" customWidth="1"/>
    <col min="3" max="7" width="9.140625" customWidth="1"/>
    <col min="8" max="8" width="13.42578125" customWidth="1"/>
    <col min="9" max="9" width="9.140625" hidden="1" customWidth="1"/>
    <col min="10" max="16384" width="9.140625" hidden="1"/>
  </cols>
  <sheetData>
    <row r="1" spans="2:4" s="92" customFormat="1" x14ac:dyDescent="0.25"/>
    <row r="2" spans="2:4" x14ac:dyDescent="0.25">
      <c r="B2" s="85" t="s">
        <v>222</v>
      </c>
    </row>
    <row r="3" spans="2:4" x14ac:dyDescent="0.25"/>
    <row r="4" spans="2:4" x14ac:dyDescent="0.25">
      <c r="B4" s="241" t="s">
        <v>223</v>
      </c>
      <c r="C4" s="241"/>
      <c r="D4" s="241"/>
    </row>
    <row r="5" spans="2:4" x14ac:dyDescent="0.25">
      <c r="B5" s="242"/>
      <c r="C5" s="242"/>
      <c r="D5" s="242"/>
    </row>
    <row r="6" spans="2:4" x14ac:dyDescent="0.25">
      <c r="B6" s="241" t="s">
        <v>363</v>
      </c>
      <c r="C6" s="241"/>
      <c r="D6" s="241"/>
    </row>
    <row r="7" spans="2:4" x14ac:dyDescent="0.25">
      <c r="B7" s="242"/>
      <c r="C7" s="242"/>
      <c r="D7" s="242"/>
    </row>
    <row r="8" spans="2:4" x14ac:dyDescent="0.25">
      <c r="B8" s="241" t="s">
        <v>196</v>
      </c>
      <c r="C8" s="241"/>
      <c r="D8" s="241"/>
    </row>
    <row r="9" spans="2:4" x14ac:dyDescent="0.25">
      <c r="B9" s="242"/>
      <c r="C9" s="242"/>
      <c r="D9" s="242"/>
    </row>
    <row r="10" spans="2:4" x14ac:dyDescent="0.25">
      <c r="B10" s="241" t="s">
        <v>224</v>
      </c>
      <c r="C10" s="241"/>
      <c r="D10" s="241"/>
    </row>
    <row r="11" spans="2:4" x14ac:dyDescent="0.25">
      <c r="B11" s="242"/>
      <c r="C11" s="242"/>
      <c r="D11" s="242"/>
    </row>
    <row r="12" spans="2:4" x14ac:dyDescent="0.25">
      <c r="B12" s="522" t="s">
        <v>225</v>
      </c>
      <c r="C12" s="522"/>
      <c r="D12" s="522"/>
    </row>
    <row r="13" spans="2:4" x14ac:dyDescent="0.25">
      <c r="B13" s="242"/>
      <c r="C13" s="242"/>
      <c r="D13" s="242"/>
    </row>
    <row r="14" spans="2:4" x14ac:dyDescent="0.25">
      <c r="B14" s="522" t="s">
        <v>294</v>
      </c>
      <c r="C14" s="522"/>
      <c r="D14" s="522"/>
    </row>
    <row r="15" spans="2:4" x14ac:dyDescent="0.25">
      <c r="B15" s="242"/>
      <c r="C15" s="242"/>
      <c r="D15" s="242"/>
    </row>
    <row r="16" spans="2:4" x14ac:dyDescent="0.25">
      <c r="B16" s="242" t="s">
        <v>150</v>
      </c>
      <c r="C16" s="242"/>
      <c r="D16" s="242"/>
    </row>
    <row r="17" spans="2:4" x14ac:dyDescent="0.25">
      <c r="B17" s="242"/>
      <c r="C17" s="242"/>
      <c r="D17" s="242"/>
    </row>
    <row r="18" spans="2:4" x14ac:dyDescent="0.25">
      <c r="B18" s="242" t="s">
        <v>336</v>
      </c>
      <c r="C18" s="242"/>
      <c r="D18" s="242"/>
    </row>
    <row r="19" spans="2:4" x14ac:dyDescent="0.25">
      <c r="B19" s="242"/>
      <c r="C19" s="242"/>
      <c r="D19" s="242"/>
    </row>
    <row r="20" spans="2:4" x14ac:dyDescent="0.25">
      <c r="B20" s="522" t="s">
        <v>119</v>
      </c>
      <c r="C20" s="522"/>
      <c r="D20" s="522"/>
    </row>
    <row r="21" spans="2:4" x14ac:dyDescent="0.25">
      <c r="B21" s="242"/>
      <c r="C21" s="242"/>
      <c r="D21" s="242"/>
    </row>
    <row r="22" spans="2:4" x14ac:dyDescent="0.25">
      <c r="B22" s="522" t="s">
        <v>226</v>
      </c>
      <c r="C22" s="522"/>
      <c r="D22" s="522"/>
    </row>
    <row r="23" spans="2:4" x14ac:dyDescent="0.25">
      <c r="B23" s="242"/>
      <c r="C23" s="242"/>
      <c r="D23" s="242"/>
    </row>
    <row r="24" spans="2:4" x14ac:dyDescent="0.25">
      <c r="B24" s="522" t="s">
        <v>317</v>
      </c>
      <c r="C24" s="522"/>
      <c r="D24" s="522"/>
    </row>
    <row r="25" spans="2:4" x14ac:dyDescent="0.25">
      <c r="B25" s="242"/>
      <c r="C25" s="242"/>
      <c r="D25" s="242"/>
    </row>
    <row r="26" spans="2:4" x14ac:dyDescent="0.25">
      <c r="B26" s="241" t="s">
        <v>295</v>
      </c>
      <c r="C26" s="241"/>
      <c r="D26" s="241"/>
    </row>
    <row r="27" spans="2:4" x14ac:dyDescent="0.25">
      <c r="B27" s="242"/>
      <c r="C27" s="242"/>
      <c r="D27" s="242"/>
    </row>
    <row r="28" spans="2:4" x14ac:dyDescent="0.25">
      <c r="B28" s="522" t="s">
        <v>227</v>
      </c>
      <c r="C28" s="522"/>
      <c r="D28" s="522"/>
    </row>
    <row r="29" spans="2:4" s="92" customFormat="1" x14ac:dyDescent="0.25"/>
    <row r="30" spans="2:4" x14ac:dyDescent="0.25"/>
    <row r="31" spans="2:4" x14ac:dyDescent="0.25"/>
  </sheetData>
  <sheetProtection sheet="1" selectLockedCells="1"/>
  <mergeCells count="6">
    <mergeCell ref="B12:D12"/>
    <mergeCell ref="B28:D28"/>
    <mergeCell ref="B24:D24"/>
    <mergeCell ref="B20:D20"/>
    <mergeCell ref="B14:D14"/>
    <mergeCell ref="B22:D2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3C715-04E3-458F-8F74-A25EA251C51B}">
  <sheetPr>
    <tabColor theme="4" tint="0.59999389629810485"/>
    <pageSetUpPr fitToPage="1"/>
  </sheetPr>
  <dimension ref="A1:Z44"/>
  <sheetViews>
    <sheetView showGridLines="0" zoomScale="70" zoomScaleNormal="70" workbookViewId="0">
      <selection activeCell="B16" sqref="B16"/>
    </sheetView>
  </sheetViews>
  <sheetFormatPr defaultColWidth="0" defaultRowHeight="15" zeroHeight="1" x14ac:dyDescent="0.25"/>
  <cols>
    <col min="1" max="1" width="1.85546875" style="75" customWidth="1"/>
    <col min="2" max="2" width="41.42578125" style="40" customWidth="1"/>
    <col min="3" max="4" width="14.7109375" style="40" customWidth="1"/>
    <col min="5" max="7" width="13.140625" style="40" customWidth="1"/>
    <col min="8" max="13" width="16" style="39" customWidth="1"/>
    <col min="14" max="14" width="14.7109375" style="39" customWidth="1"/>
    <col min="15" max="19" width="16" style="39" customWidth="1"/>
    <col min="20" max="20" width="14.7109375" style="39" customWidth="1"/>
    <col min="21" max="25" width="16" style="39" customWidth="1"/>
    <col min="26" max="26" width="14.7109375" style="39" customWidth="1"/>
    <col min="27" max="29" width="9.140625" style="39" customWidth="1"/>
    <col min="30" max="16384" width="9.140625" style="39" hidden="1"/>
  </cols>
  <sheetData>
    <row r="1" spans="1:26" x14ac:dyDescent="0.25">
      <c r="B1" s="78"/>
      <c r="C1" s="78"/>
      <c r="D1" s="78"/>
      <c r="E1" s="78"/>
      <c r="F1" s="78"/>
      <c r="G1" s="78"/>
      <c r="H1" s="75"/>
      <c r="I1" s="75"/>
      <c r="J1" s="75"/>
      <c r="K1" s="75"/>
      <c r="L1" s="75"/>
      <c r="M1" s="75"/>
      <c r="N1" s="75"/>
      <c r="O1" s="75"/>
      <c r="P1" s="75"/>
      <c r="T1" s="75"/>
    </row>
    <row r="2" spans="1:26" ht="27.75" customHeight="1" x14ac:dyDescent="0.25">
      <c r="B2" s="535" t="s">
        <v>203</v>
      </c>
      <c r="C2" s="554" t="str">
        <f>"Situação a 31/12/"&amp;Instruções!C7-1</f>
        <v>Situação a 31/12/2022</v>
      </c>
      <c r="D2" s="554" t="str">
        <f>"Situação a 31/12/"&amp;Instruções!C7</f>
        <v>Situação a 31/12/2023</v>
      </c>
      <c r="E2" s="555" t="s">
        <v>236</v>
      </c>
      <c r="F2" s="556"/>
      <c r="G2" s="557"/>
      <c r="H2" s="551" t="str">
        <f>"Movimentos de Pessoal - "&amp;Instruções!$C$7+1</f>
        <v>Movimentos de Pessoal - 2024</v>
      </c>
      <c r="I2" s="552"/>
      <c r="J2" s="552"/>
      <c r="K2" s="552"/>
      <c r="L2" s="552"/>
      <c r="M2" s="553"/>
      <c r="N2" s="554" t="str">
        <f>"Situação a 31/12/"&amp;Instruções!$C$7+1</f>
        <v>Situação a 31/12/2024</v>
      </c>
      <c r="O2" s="551" t="str">
        <f>"Movimentos de Pessoal - "&amp;Instruções!$C$7+2</f>
        <v>Movimentos de Pessoal - 2025</v>
      </c>
      <c r="P2" s="552"/>
      <c r="Q2" s="552"/>
      <c r="R2" s="552"/>
      <c r="S2" s="553"/>
      <c r="T2" s="554" t="str">
        <f>"Situação a 31/12/"&amp;Instruções!$C$7+2</f>
        <v>Situação a 31/12/2025</v>
      </c>
      <c r="U2" s="551" t="str">
        <f>"Movimentos de Pessoal - "&amp;Instruções!$C$7+3</f>
        <v>Movimentos de Pessoal - 2026</v>
      </c>
      <c r="V2" s="552"/>
      <c r="W2" s="552"/>
      <c r="X2" s="552"/>
      <c r="Y2" s="553"/>
      <c r="Z2" s="554" t="str">
        <f>"Situação a 31/12/"&amp;Instruções!$C$7+3</f>
        <v>Situação a 31/12/2026</v>
      </c>
    </row>
    <row r="3" spans="1:26" ht="62.25" customHeight="1" x14ac:dyDescent="0.25">
      <c r="B3" s="535"/>
      <c r="C3" s="554"/>
      <c r="D3" s="554"/>
      <c r="E3" s="513" t="s">
        <v>237</v>
      </c>
      <c r="F3" s="513" t="s">
        <v>238</v>
      </c>
      <c r="G3" s="513" t="s">
        <v>239</v>
      </c>
      <c r="H3" s="235" t="s">
        <v>204</v>
      </c>
      <c r="I3" s="235" t="s">
        <v>205</v>
      </c>
      <c r="J3" s="235" t="s">
        <v>230</v>
      </c>
      <c r="K3" s="235" t="s">
        <v>231</v>
      </c>
      <c r="L3" s="235" t="s">
        <v>206</v>
      </c>
      <c r="M3" s="235" t="s">
        <v>207</v>
      </c>
      <c r="N3" s="554"/>
      <c r="O3" s="235" t="s">
        <v>204</v>
      </c>
      <c r="P3" s="235" t="s">
        <v>205</v>
      </c>
      <c r="Q3" s="235" t="s">
        <v>233</v>
      </c>
      <c r="R3" s="235" t="s">
        <v>206</v>
      </c>
      <c r="S3" s="235" t="s">
        <v>207</v>
      </c>
      <c r="T3" s="554"/>
      <c r="U3" s="235" t="s">
        <v>204</v>
      </c>
      <c r="V3" s="235" t="s">
        <v>205</v>
      </c>
      <c r="W3" s="235" t="s">
        <v>232</v>
      </c>
      <c r="X3" s="235" t="s">
        <v>206</v>
      </c>
      <c r="Y3" s="235" t="s">
        <v>207</v>
      </c>
      <c r="Z3" s="554"/>
    </row>
    <row r="4" spans="1:26" ht="36.75" customHeight="1" x14ac:dyDescent="0.25">
      <c r="B4" s="236"/>
      <c r="C4" s="237"/>
      <c r="D4" s="238" t="s">
        <v>208</v>
      </c>
      <c r="E4" s="558"/>
      <c r="F4" s="559"/>
      <c r="G4" s="560"/>
      <c r="H4" s="238" t="s">
        <v>209</v>
      </c>
      <c r="I4" s="237"/>
      <c r="J4" s="238" t="s">
        <v>210</v>
      </c>
      <c r="K4" s="238" t="s">
        <v>211</v>
      </c>
      <c r="L4" s="238" t="s">
        <v>212</v>
      </c>
      <c r="M4" s="238" t="s">
        <v>213</v>
      </c>
      <c r="N4" s="239" t="s">
        <v>214</v>
      </c>
      <c r="O4" s="238" t="s">
        <v>209</v>
      </c>
      <c r="P4" s="237"/>
      <c r="Q4" s="238" t="s">
        <v>211</v>
      </c>
      <c r="R4" s="238" t="s">
        <v>212</v>
      </c>
      <c r="S4" s="238" t="s">
        <v>213</v>
      </c>
      <c r="T4" s="239" t="s">
        <v>234</v>
      </c>
      <c r="U4" s="238" t="s">
        <v>209</v>
      </c>
      <c r="V4" s="237"/>
      <c r="W4" s="238" t="s">
        <v>211</v>
      </c>
      <c r="X4" s="238" t="s">
        <v>212</v>
      </c>
      <c r="Y4" s="238" t="s">
        <v>213</v>
      </c>
      <c r="Z4" s="239" t="s">
        <v>235</v>
      </c>
    </row>
    <row r="5" spans="1:26" ht="6.75" customHeight="1" x14ac:dyDescent="0.25">
      <c r="B5" s="39"/>
      <c r="C5" s="39"/>
      <c r="D5" s="39"/>
      <c r="E5" s="39"/>
      <c r="F5" s="39"/>
      <c r="G5" s="39"/>
    </row>
    <row r="6" spans="1:26" s="240" customFormat="1" ht="52.5" customHeight="1" x14ac:dyDescent="0.25">
      <c r="A6" s="703"/>
      <c r="B6" s="704" t="s">
        <v>216</v>
      </c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3">
        <f t="shared" ref="N6:N12" si="0">D6-H6+J6+K6+L6+M6</f>
        <v>0</v>
      </c>
      <c r="O6" s="342"/>
      <c r="P6" s="342"/>
      <c r="Q6" s="342"/>
      <c r="R6" s="342"/>
      <c r="S6" s="342"/>
      <c r="T6" s="343">
        <f>N6-O6+Q6+R6+S6</f>
        <v>0</v>
      </c>
      <c r="U6" s="342"/>
      <c r="V6" s="342"/>
      <c r="W6" s="342"/>
      <c r="X6" s="342"/>
      <c r="Y6" s="342"/>
      <c r="Z6" s="343">
        <f t="shared" ref="Z6:Z12" si="1">T6-U6+W6+X6+Y6</f>
        <v>0</v>
      </c>
    </row>
    <row r="7" spans="1:26" s="240" customFormat="1" ht="52.5" customHeight="1" x14ac:dyDescent="0.25">
      <c r="A7" s="703"/>
      <c r="B7" s="704" t="s">
        <v>215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3">
        <f t="shared" si="0"/>
        <v>0</v>
      </c>
      <c r="O7" s="342"/>
      <c r="P7" s="342"/>
      <c r="Q7" s="342"/>
      <c r="R7" s="342"/>
      <c r="S7" s="342"/>
      <c r="T7" s="343">
        <f t="shared" ref="T7:T12" si="2">N7-O7+Q7+R7+S7</f>
        <v>0</v>
      </c>
      <c r="U7" s="342"/>
      <c r="V7" s="342"/>
      <c r="W7" s="342"/>
      <c r="X7" s="342"/>
      <c r="Y7" s="342"/>
      <c r="Z7" s="343">
        <f t="shared" si="1"/>
        <v>0</v>
      </c>
    </row>
    <row r="8" spans="1:26" s="240" customFormat="1" ht="52.5" customHeight="1" x14ac:dyDescent="0.25">
      <c r="A8" s="703"/>
      <c r="B8" s="704" t="s">
        <v>217</v>
      </c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3">
        <f t="shared" si="0"/>
        <v>0</v>
      </c>
      <c r="O8" s="342"/>
      <c r="P8" s="342"/>
      <c r="Q8" s="342"/>
      <c r="R8" s="342"/>
      <c r="S8" s="342"/>
      <c r="T8" s="343">
        <f t="shared" si="2"/>
        <v>0</v>
      </c>
      <c r="U8" s="342"/>
      <c r="V8" s="342"/>
      <c r="W8" s="342"/>
      <c r="X8" s="342"/>
      <c r="Y8" s="342"/>
      <c r="Z8" s="343">
        <f t="shared" si="1"/>
        <v>0</v>
      </c>
    </row>
    <row r="9" spans="1:26" s="240" customFormat="1" ht="52.5" customHeight="1" x14ac:dyDescent="0.25">
      <c r="A9" s="703"/>
      <c r="B9" s="704" t="s">
        <v>218</v>
      </c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3">
        <f t="shared" si="0"/>
        <v>0</v>
      </c>
      <c r="O9" s="342"/>
      <c r="P9" s="342"/>
      <c r="Q9" s="342"/>
      <c r="R9" s="342"/>
      <c r="S9" s="342"/>
      <c r="T9" s="343">
        <f t="shared" si="2"/>
        <v>0</v>
      </c>
      <c r="U9" s="342"/>
      <c r="V9" s="342"/>
      <c r="W9" s="342"/>
      <c r="X9" s="342"/>
      <c r="Y9" s="342"/>
      <c r="Z9" s="343">
        <f t="shared" si="1"/>
        <v>0</v>
      </c>
    </row>
    <row r="10" spans="1:26" s="240" customFormat="1" ht="52.5" customHeight="1" x14ac:dyDescent="0.25">
      <c r="A10" s="703"/>
      <c r="B10" s="704" t="s">
        <v>219</v>
      </c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3">
        <f t="shared" si="0"/>
        <v>0</v>
      </c>
      <c r="O10" s="342"/>
      <c r="P10" s="342"/>
      <c r="Q10" s="342"/>
      <c r="R10" s="342"/>
      <c r="S10" s="342"/>
      <c r="T10" s="343">
        <f t="shared" si="2"/>
        <v>0</v>
      </c>
      <c r="U10" s="342"/>
      <c r="V10" s="342"/>
      <c r="W10" s="342"/>
      <c r="X10" s="342"/>
      <c r="Y10" s="342"/>
      <c r="Z10" s="343">
        <f t="shared" si="1"/>
        <v>0</v>
      </c>
    </row>
    <row r="11" spans="1:26" s="240" customFormat="1" ht="52.5" customHeight="1" x14ac:dyDescent="0.25">
      <c r="A11" s="703"/>
      <c r="B11" s="704" t="s">
        <v>220</v>
      </c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3">
        <f t="shared" si="0"/>
        <v>0</v>
      </c>
      <c r="O11" s="342"/>
      <c r="P11" s="342"/>
      <c r="Q11" s="342"/>
      <c r="R11" s="342"/>
      <c r="S11" s="342"/>
      <c r="T11" s="343">
        <f t="shared" si="2"/>
        <v>0</v>
      </c>
      <c r="U11" s="342"/>
      <c r="V11" s="342"/>
      <c r="W11" s="342"/>
      <c r="X11" s="342"/>
      <c r="Y11" s="342"/>
      <c r="Z11" s="343">
        <f t="shared" si="1"/>
        <v>0</v>
      </c>
    </row>
    <row r="12" spans="1:26" s="240" customFormat="1" ht="52.5" customHeight="1" x14ac:dyDescent="0.25">
      <c r="A12" s="703"/>
      <c r="B12" s="704" t="s">
        <v>217</v>
      </c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3">
        <f t="shared" si="0"/>
        <v>0</v>
      </c>
      <c r="O12" s="342"/>
      <c r="P12" s="342"/>
      <c r="Q12" s="342"/>
      <c r="R12" s="342"/>
      <c r="S12" s="342"/>
      <c r="T12" s="343">
        <f t="shared" si="2"/>
        <v>0</v>
      </c>
      <c r="U12" s="342"/>
      <c r="V12" s="342"/>
      <c r="W12" s="342"/>
      <c r="X12" s="342"/>
      <c r="Y12" s="342"/>
      <c r="Z12" s="343">
        <f t="shared" si="1"/>
        <v>0</v>
      </c>
    </row>
    <row r="13" spans="1:26" ht="6.75" customHeight="1" x14ac:dyDescent="0.25">
      <c r="B13" s="340"/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</row>
    <row r="14" spans="1:26" ht="42" customHeight="1" x14ac:dyDescent="0.25">
      <c r="B14" s="341" t="s">
        <v>221</v>
      </c>
      <c r="C14" s="345">
        <f>SUM(C6:C12)</f>
        <v>0</v>
      </c>
      <c r="D14" s="345">
        <f t="shared" ref="D14:N14" si="3">SUM(D6:D12)</f>
        <v>0</v>
      </c>
      <c r="E14" s="345">
        <f t="shared" si="3"/>
        <v>0</v>
      </c>
      <c r="F14" s="345">
        <f t="shared" si="3"/>
        <v>0</v>
      </c>
      <c r="G14" s="345">
        <f t="shared" si="3"/>
        <v>0</v>
      </c>
      <c r="H14" s="345">
        <f t="shared" si="3"/>
        <v>0</v>
      </c>
      <c r="I14" s="345">
        <f t="shared" si="3"/>
        <v>0</v>
      </c>
      <c r="J14" s="345">
        <f t="shared" si="3"/>
        <v>0</v>
      </c>
      <c r="K14" s="345">
        <f t="shared" si="3"/>
        <v>0</v>
      </c>
      <c r="L14" s="345">
        <f t="shared" si="3"/>
        <v>0</v>
      </c>
      <c r="M14" s="345">
        <f t="shared" si="3"/>
        <v>0</v>
      </c>
      <c r="N14" s="345">
        <f t="shared" si="3"/>
        <v>0</v>
      </c>
      <c r="O14" s="345">
        <f t="shared" ref="O14:T14" si="4">SUM(O6:O12)</f>
        <v>0</v>
      </c>
      <c r="P14" s="345">
        <f t="shared" si="4"/>
        <v>0</v>
      </c>
      <c r="Q14" s="345">
        <f t="shared" si="4"/>
        <v>0</v>
      </c>
      <c r="R14" s="345">
        <f t="shared" si="4"/>
        <v>0</v>
      </c>
      <c r="S14" s="345">
        <f t="shared" si="4"/>
        <v>0</v>
      </c>
      <c r="T14" s="345">
        <f t="shared" si="4"/>
        <v>0</v>
      </c>
      <c r="U14" s="345">
        <f t="shared" ref="U14:Z14" si="5">SUM(U6:U12)</f>
        <v>0</v>
      </c>
      <c r="V14" s="345">
        <f t="shared" si="5"/>
        <v>0</v>
      </c>
      <c r="W14" s="345">
        <f t="shared" si="5"/>
        <v>0</v>
      </c>
      <c r="X14" s="345">
        <f t="shared" si="5"/>
        <v>0</v>
      </c>
      <c r="Y14" s="345">
        <f t="shared" si="5"/>
        <v>0</v>
      </c>
      <c r="Z14" s="345">
        <f t="shared" si="5"/>
        <v>0</v>
      </c>
    </row>
    <row r="15" spans="1:26" x14ac:dyDescent="0.25"/>
    <row r="16" spans="1:26" s="75" customFormat="1" x14ac:dyDescent="0.25">
      <c r="B16" s="250"/>
      <c r="C16" s="78"/>
      <c r="D16" s="78"/>
      <c r="E16" s="78"/>
      <c r="F16" s="78"/>
      <c r="G16" s="78"/>
    </row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</sheetData>
  <sheetProtection sheet="1" selectLockedCells="1"/>
  <mergeCells count="11">
    <mergeCell ref="B2:B3"/>
    <mergeCell ref="C2:C3"/>
    <mergeCell ref="D2:D3"/>
    <mergeCell ref="H2:M2"/>
    <mergeCell ref="E4:G4"/>
    <mergeCell ref="O2:S2"/>
    <mergeCell ref="T2:T3"/>
    <mergeCell ref="U2:Y2"/>
    <mergeCell ref="Z2:Z3"/>
    <mergeCell ref="E2:G2"/>
    <mergeCell ref="N2:N3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  <ignoredErrors>
    <ignoredError sqref="D4 J4 H4:I4 K4:M4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F0B6D-6D5B-4760-82D1-959950A06D91}">
  <sheetPr>
    <tabColor theme="4" tint="0.59999389629810485"/>
    <pageSetUpPr fitToPage="1"/>
  </sheetPr>
  <dimension ref="A1:K67"/>
  <sheetViews>
    <sheetView showGridLines="0" zoomScaleNormal="100" workbookViewId="0">
      <selection activeCell="F63" sqref="F63"/>
    </sheetView>
  </sheetViews>
  <sheetFormatPr defaultColWidth="0" defaultRowHeight="15" customHeight="1" zeroHeight="1" x14ac:dyDescent="0.25"/>
  <cols>
    <col min="1" max="1" width="1.85546875" style="39" customWidth="1"/>
    <col min="2" max="2" width="57.28515625" style="40" customWidth="1"/>
    <col min="3" max="5" width="14.140625" style="40" customWidth="1"/>
    <col min="6" max="8" width="14.140625" style="39" customWidth="1"/>
    <col min="9" max="10" width="12.7109375" style="39" customWidth="1"/>
    <col min="11" max="11" width="9.140625" style="39" customWidth="1"/>
    <col min="12" max="16384" width="9.140625" style="39" hidden="1"/>
  </cols>
  <sheetData>
    <row r="1" spans="1:11" s="93" customFormat="1" x14ac:dyDescent="0.25">
      <c r="B1" s="142"/>
      <c r="C1" s="142"/>
      <c r="D1" s="142"/>
      <c r="E1" s="142"/>
      <c r="F1" s="142"/>
      <c r="G1" s="142"/>
      <c r="H1" s="142"/>
      <c r="I1" s="142"/>
    </row>
    <row r="2" spans="1:11" s="93" customFormat="1" x14ac:dyDescent="0.25">
      <c r="B2" s="134"/>
      <c r="C2" s="134"/>
      <c r="D2" s="134"/>
      <c r="E2" s="134"/>
      <c r="H2" s="64" t="s">
        <v>151</v>
      </c>
      <c r="I2" s="26"/>
    </row>
    <row r="3" spans="1:11" s="93" customFormat="1" ht="15" customHeight="1" x14ac:dyDescent="0.25">
      <c r="B3" s="535" t="s">
        <v>175</v>
      </c>
      <c r="C3" s="66">
        <f>IF(Instruções!C7="","",IF(ISERROR(Instruções!C7),"",Instruções!C7-1))</f>
        <v>2022</v>
      </c>
      <c r="D3" s="95">
        <f>IF(Instruções!$C$7="","",IF(ISERROR(Instruções!$C$7),"",Instruções!$C$7))</f>
        <v>2023</v>
      </c>
      <c r="E3" s="95">
        <f>IF(Instruções!$C$7="","",IF(ISERROR(Instruções!$C$7),"",Instruções!$C$7))</f>
        <v>2023</v>
      </c>
      <c r="F3" s="67">
        <f>IF(Instruções!C7="","",IF(ISERROR(Instruções!C7),"",Instruções!C7+1))</f>
        <v>2024</v>
      </c>
      <c r="G3" s="68">
        <f>IF(Instruções!C7="","",IF(ISERROR(Instruções!C7),"",Instruções!C7+2))</f>
        <v>2025</v>
      </c>
      <c r="H3" s="69">
        <f>IF(Instruções!C7="","",IF(ISERROR(Instruções!C7),"",Instruções!C7+3))</f>
        <v>2026</v>
      </c>
      <c r="I3" s="547" t="str">
        <f>IF(ISERROR("Δ ("&amp;Instruções!C7+1&amp;"-"&amp;Instruções!C7&amp;")"),"","Δ ("&amp;Instruções!C7+1&amp;"-"&amp;Instruções!C7&amp;")")</f>
        <v>Δ (2024-2023)</v>
      </c>
      <c r="J3" s="548"/>
    </row>
    <row r="4" spans="1:11" s="93" customFormat="1" ht="14.25" customHeight="1" x14ac:dyDescent="0.25">
      <c r="B4" s="535"/>
      <c r="C4" s="70" t="str">
        <f>IF(C3="","","Execução")</f>
        <v>Execução</v>
      </c>
      <c r="D4" s="96" t="str">
        <f>IF(D3="","","PAO")</f>
        <v>PAO</v>
      </c>
      <c r="E4" s="96" t="str">
        <f>IF(E3="","","Estimativa")</f>
        <v>Estimativa</v>
      </c>
      <c r="F4" s="71" t="str">
        <f>IF(F3="","","Previsão")</f>
        <v>Previsão</v>
      </c>
      <c r="G4" s="72" t="str">
        <f>IF(G3="","","Previsão")</f>
        <v>Previsão</v>
      </c>
      <c r="H4" s="73" t="str">
        <f>IF(H3="","","Previsão")</f>
        <v>Previsão</v>
      </c>
      <c r="I4" s="97" t="s">
        <v>117</v>
      </c>
      <c r="J4" s="70" t="s">
        <v>118</v>
      </c>
    </row>
    <row r="5" spans="1:11" s="93" customFormat="1" ht="3" customHeight="1" x14ac:dyDescent="0.25">
      <c r="F5" s="119"/>
      <c r="G5" s="120"/>
      <c r="H5" s="121"/>
    </row>
    <row r="6" spans="1:11" s="93" customFormat="1" x14ac:dyDescent="0.25">
      <c r="B6" s="98" t="s">
        <v>173</v>
      </c>
      <c r="C6" s="184" t="str">
        <f>IF(Patrimonio_2022="","",Patrimonio_2022)</f>
        <v/>
      </c>
      <c r="D6" s="143"/>
      <c r="E6" s="184" t="str">
        <f>IF(Patrimonio_2023="","",Patrimonio_2023)</f>
        <v/>
      </c>
      <c r="F6" s="101" t="str">
        <f>IF(Patrimonio_2024="","",Patrimonio_2024)</f>
        <v/>
      </c>
      <c r="G6" s="103" t="str">
        <f>IF(Patrimonio_2025="","",Patrimonio_2025)</f>
        <v/>
      </c>
      <c r="H6" s="185" t="str">
        <f>IF(Patrimonio_2026="","",Patrimonio_2026)</f>
        <v/>
      </c>
      <c r="I6" s="103" t="str">
        <f t="shared" ref="I6:I7" si="0">IF(AND(E6="",F6=""),"",IF(ISERROR(F6-E6),"",F6-E6))</f>
        <v/>
      </c>
      <c r="J6" s="311" t="str">
        <f t="shared" ref="J6:J10" si="1">IFERROR(I6/ABS(E6),"")</f>
        <v/>
      </c>
    </row>
    <row r="7" spans="1:11" s="93" customFormat="1" x14ac:dyDescent="0.25">
      <c r="B7" s="98" t="s">
        <v>256</v>
      </c>
      <c r="C7" s="184" t="str">
        <f>IF(AND(FO_PNC_2022="",FO_PC_2022=""),"",FO_PNC_2022+FO_PC_2022)</f>
        <v/>
      </c>
      <c r="D7" s="143"/>
      <c r="E7" s="184" t="str">
        <f>IF(AND(FO_PNC_2023="",FO_PC_2023=""),"",FO_PNC_2023+FO_PC_2023)</f>
        <v/>
      </c>
      <c r="F7" s="101" t="str">
        <f>IF(AND(FO_PNC_2024="",FO_PC_2024=""),"",FO_PNC_2024+FO_PC_2024)</f>
        <v/>
      </c>
      <c r="G7" s="103" t="str">
        <f>IF(AND(FO_PNC_2025="",FO_PC_2025=""),"",FO_PNC_2025+FO_PC_2025)</f>
        <v/>
      </c>
      <c r="H7" s="185" t="str">
        <f>IF(AND(FO_PNC_2026="",FO_PC_2026=""),"",FO_PNC_2026+FO_PC_2026)</f>
        <v/>
      </c>
      <c r="I7" s="103" t="str">
        <f t="shared" si="0"/>
        <v/>
      </c>
      <c r="J7" s="311" t="str">
        <f t="shared" si="1"/>
        <v/>
      </c>
    </row>
    <row r="8" spans="1:11" s="93" customFormat="1" ht="24.75" customHeight="1" x14ac:dyDescent="0.25">
      <c r="B8" s="98" t="s">
        <v>176</v>
      </c>
      <c r="C8" s="145"/>
      <c r="D8" s="145"/>
      <c r="E8" s="678"/>
      <c r="F8" s="145"/>
      <c r="G8" s="143"/>
      <c r="H8" s="146"/>
      <c r="I8" s="103" t="str">
        <f>IF(AND(E8="",F8=""),"",IF(ISERROR(F8-E8),"",F8-E8))</f>
        <v/>
      </c>
      <c r="J8" s="104" t="str">
        <f>IFERROR(I8/ABS(E8),"")</f>
        <v/>
      </c>
    </row>
    <row r="9" spans="1:11" s="93" customFormat="1" x14ac:dyDescent="0.25">
      <c r="B9" s="98" t="s">
        <v>174</v>
      </c>
      <c r="C9" s="419"/>
      <c r="D9" s="419"/>
      <c r="E9" s="420"/>
      <c r="F9" s="145"/>
      <c r="G9" s="146"/>
      <c r="H9" s="146"/>
      <c r="I9" s="103" t="str">
        <f>IF(AND(E9="",F9=""),"",IF(ISERROR(F9-E9),"",F9-E9))</f>
        <v/>
      </c>
      <c r="J9" s="104" t="str">
        <f t="shared" si="1"/>
        <v/>
      </c>
    </row>
    <row r="10" spans="1:11" s="93" customFormat="1" x14ac:dyDescent="0.25">
      <c r="B10" s="98" t="s">
        <v>174</v>
      </c>
      <c r="C10" s="421"/>
      <c r="D10" s="420"/>
      <c r="E10" s="420"/>
      <c r="F10" s="145"/>
      <c r="G10" s="143"/>
      <c r="H10" s="146"/>
      <c r="I10" s="103" t="str">
        <f t="shared" ref="I10" si="2">IF(AND(E10="",F10=""),"",IF(ISERROR(F10-E10),"",F10-E10))</f>
        <v/>
      </c>
      <c r="J10" s="104" t="str">
        <f t="shared" si="1"/>
        <v/>
      </c>
    </row>
    <row r="11" spans="1:11" s="93" customFormat="1" ht="6.75" customHeight="1" x14ac:dyDescent="0.25">
      <c r="B11" s="109"/>
      <c r="C11" s="135"/>
      <c r="D11" s="135"/>
      <c r="E11" s="136"/>
      <c r="F11" s="137"/>
      <c r="G11" s="136"/>
      <c r="H11" s="138"/>
      <c r="I11" s="136"/>
      <c r="J11" s="139"/>
      <c r="K11" s="136"/>
    </row>
    <row r="12" spans="1:11" s="93" customFormat="1" ht="23.25" customHeight="1" x14ac:dyDescent="0.25">
      <c r="B12" s="63" t="s">
        <v>321</v>
      </c>
      <c r="C12" s="183">
        <f>IFERROR(SUM(C6:C7)-SUM(C8),"")</f>
        <v>0</v>
      </c>
      <c r="D12" s="183">
        <f>IFERROR(SUM(D6:D7)-SUM(D8:D10),"")</f>
        <v>0</v>
      </c>
      <c r="E12" s="183">
        <f>IFERROR(SUM(E6:E7)-SUM(E8:E10),"")</f>
        <v>0</v>
      </c>
      <c r="F12" s="683">
        <f t="shared" ref="D12:H12" si="3">IFERROR(SUM(F6:F7)-SUM(F8:F10),"")</f>
        <v>0</v>
      </c>
      <c r="G12" s="183">
        <f t="shared" si="3"/>
        <v>0</v>
      </c>
      <c r="H12" s="667">
        <f t="shared" si="3"/>
        <v>0</v>
      </c>
      <c r="I12" s="681">
        <f>IF(ISERROR(F12-E12),"",F12-E12)</f>
        <v>0</v>
      </c>
      <c r="J12" s="323" t="str">
        <f>IFERROR(I12/ABS(E12),"")</f>
        <v/>
      </c>
      <c r="K12" s="136"/>
    </row>
    <row r="13" spans="1:11" s="93" customFormat="1" ht="28.5" customHeight="1" x14ac:dyDescent="0.25">
      <c r="B13" s="437" t="s">
        <v>366</v>
      </c>
      <c r="C13" s="183">
        <f>IFERROR(SUM(C6:C7)-SUM(C9:C10),"")</f>
        <v>0</v>
      </c>
      <c r="D13" s="183">
        <f>IFERROR(SUM(D6:D7)-SUM(D9:D10),"")</f>
        <v>0</v>
      </c>
      <c r="E13" s="183">
        <f t="shared" ref="D13:H13" si="4">IFERROR(SUM(E6:E7)-SUM(E9:E10),"")</f>
        <v>0</v>
      </c>
      <c r="F13" s="683">
        <f t="shared" si="4"/>
        <v>0</v>
      </c>
      <c r="G13" s="183">
        <f t="shared" si="4"/>
        <v>0</v>
      </c>
      <c r="H13" s="667">
        <f t="shared" si="4"/>
        <v>0</v>
      </c>
      <c r="I13" s="681">
        <f>IF(ISERROR(F13-E13),"",F13-E13)</f>
        <v>0</v>
      </c>
      <c r="J13" s="323" t="str">
        <f>IFERROR(I13/ABS(E13),"")</f>
        <v/>
      </c>
      <c r="K13" s="136"/>
    </row>
    <row r="14" spans="1:11" s="93" customFormat="1" ht="23.25" customHeight="1" x14ac:dyDescent="0.25">
      <c r="B14" s="63" t="s">
        <v>172</v>
      </c>
      <c r="C14" s="183"/>
      <c r="D14" s="471" t="str">
        <f>IF(COUNT(D6:D10)=0,"",IFERROR((SUM(D6:D7)-SUM(D8:D10))-(SUM($C$6:$C$7)-SUM($C$8:$C$10)),""))</f>
        <v/>
      </c>
      <c r="E14" s="679" t="str">
        <f t="shared" ref="E14:H14" si="5">IF(COUNT(E6:E10)=0,"",IFERROR((SUM(E6:E7)-SUM(E8:E10))-(SUM($C$6:$C$7)-SUM($C$8:$C$10)),""))</f>
        <v/>
      </c>
      <c r="F14" s="471" t="str">
        <f t="shared" si="5"/>
        <v/>
      </c>
      <c r="G14" s="471" t="str">
        <f t="shared" ref="G14:H14" si="6">IF(COUNT(G6:G10)=0,"",IFERROR((SUM(G6:G7)-SUM(G8:G10))-(SUM($C$6:$C$7)-SUM($C$8:$C$10)),""))</f>
        <v/>
      </c>
      <c r="H14" s="471" t="str">
        <f t="shared" si="6"/>
        <v/>
      </c>
      <c r="I14" s="681"/>
      <c r="J14" s="323"/>
      <c r="K14" s="136"/>
    </row>
    <row r="15" spans="1:11" s="93" customFormat="1" ht="21" customHeight="1" x14ac:dyDescent="0.25">
      <c r="B15" s="63" t="s">
        <v>323</v>
      </c>
      <c r="C15" s="456"/>
      <c r="D15" s="245" t="str">
        <f>IF(COUNT(D6:D10)=0,"",IFERROR((SUM(D6:D7)-SUM(D8:D10))/(SUM($C$6:$C$7)-SUM($C$8:$C$10))-1,""))</f>
        <v/>
      </c>
      <c r="E15" s="680" t="str">
        <f>IF(COUNT(E6:E10)=0,"",IFERROR((SUM(E6:E7)-SUM(E8:E10))/(SUM($C$6:$C$7)-SUM($C$8:$C$10))-1,""))</f>
        <v/>
      </c>
      <c r="F15" s="245" t="str">
        <f>IF(COUNT(F6:F10)=0,"",IFERROR((SUM(F6:F7)-SUM(F8:F10))/(SUM($E$6:$E$7)-SUM($E$8:$E$10))-1,""))</f>
        <v/>
      </c>
      <c r="G15" s="245" t="str">
        <f t="shared" ref="G15:H15" si="7">IF(COUNT(G6:G10)=0,"",IFERROR((SUM(G6:G7)-SUM(G8:G10))/(SUM($E$6:$E$7)-SUM($E$8:$E$10))-1,""))</f>
        <v/>
      </c>
      <c r="H15" s="245" t="str">
        <f t="shared" si="7"/>
        <v/>
      </c>
      <c r="I15" s="682" t="str">
        <f>IF(ISERROR(F15-E15),"",(F15-E15)*1000)</f>
        <v/>
      </c>
      <c r="J15" s="317"/>
    </row>
    <row r="16" spans="1:11" s="131" customFormat="1" x14ac:dyDescent="0.25">
      <c r="A16" s="93"/>
      <c r="B16" s="93"/>
    </row>
    <row r="17" spans="2:10" s="93" customFormat="1" x14ac:dyDescent="0.25">
      <c r="B17" s="128"/>
      <c r="C17" s="128"/>
      <c r="D17" s="128"/>
      <c r="E17" s="128"/>
      <c r="F17" s="128"/>
      <c r="G17" s="129"/>
      <c r="H17" s="64" t="s">
        <v>151</v>
      </c>
      <c r="I17" s="26" t="s">
        <v>177</v>
      </c>
    </row>
    <row r="18" spans="2:10" ht="15" customHeight="1" x14ac:dyDescent="0.25">
      <c r="B18" s="535" t="s">
        <v>178</v>
      </c>
      <c r="C18" s="66">
        <f>IF(Instruções!C7="","",IF(ISERROR(Instruções!C7),"",Instruções!C7-1))</f>
        <v>2022</v>
      </c>
      <c r="D18" s="95">
        <f>IF(Instruções!$C$7="","",IF(ISERROR(Instruções!$C$7),"",Instruções!$C$7))</f>
        <v>2023</v>
      </c>
      <c r="E18" s="95">
        <f>IF(Instruções!C7="","",IF(ISERROR(Instruções!C7),"",Instruções!C7))</f>
        <v>2023</v>
      </c>
      <c r="F18" s="67">
        <f>IF(Instruções!C7="","",IF(ISERROR(Instruções!C7),"",Instruções!C7+1))</f>
        <v>2024</v>
      </c>
      <c r="G18" s="68">
        <f>IF(Instruções!C7="","",IF(ISERROR(Instruções!C7),"",Instruções!C7+2))</f>
        <v>2025</v>
      </c>
      <c r="H18" s="69">
        <f>IF(Instruções!C7="","",IF(ISERROR(Instruções!C7),"",Instruções!C7+3))</f>
        <v>2026</v>
      </c>
      <c r="I18" s="547" t="str">
        <f>IF(ISERROR("Δ ("&amp;Instruções!C7+1&amp;"-"&amp;Instruções!C7&amp;")"),"","Δ ("&amp;Instruções!C7+1&amp;"-"&amp;Instruções!C7&amp;")")</f>
        <v>Δ (2024-2023)</v>
      </c>
      <c r="J18" s="548"/>
    </row>
    <row r="19" spans="2:10" ht="15" customHeight="1" x14ac:dyDescent="0.25">
      <c r="B19" s="535"/>
      <c r="C19" s="70" t="str">
        <f>IF(C18="","","Execução")</f>
        <v>Execução</v>
      </c>
      <c r="D19" s="96" t="str">
        <f>IF(D18="","","PAO")</f>
        <v>PAO</v>
      </c>
      <c r="E19" s="96" t="str">
        <f>IF(E18="","","Estimativa")</f>
        <v>Estimativa</v>
      </c>
      <c r="F19" s="71" t="str">
        <f>IF(F18="","","Previsão")</f>
        <v>Previsão</v>
      </c>
      <c r="G19" s="72" t="str">
        <f>IF(G18="","","Previsão")</f>
        <v>Previsão</v>
      </c>
      <c r="H19" s="73" t="str">
        <f>IF(H18="","","Previsão")</f>
        <v>Previsão</v>
      </c>
      <c r="I19" s="97" t="s">
        <v>117</v>
      </c>
      <c r="J19" s="70" t="s">
        <v>118</v>
      </c>
    </row>
    <row r="20" spans="2:10" ht="3" customHeight="1" x14ac:dyDescent="0.25">
      <c r="B20" s="93"/>
      <c r="C20" s="93"/>
      <c r="D20" s="93"/>
      <c r="E20" s="93"/>
      <c r="F20" s="119"/>
      <c r="G20" s="120"/>
      <c r="H20" s="121"/>
      <c r="I20" s="93"/>
      <c r="J20" s="93"/>
    </row>
    <row r="21" spans="2:10" ht="22.5" customHeight="1" x14ac:dyDescent="0.25">
      <c r="B21" s="42" t="s">
        <v>179</v>
      </c>
      <c r="C21" s="144"/>
      <c r="D21" s="144"/>
      <c r="E21" s="144"/>
      <c r="F21" s="678"/>
      <c r="G21" s="144"/>
      <c r="H21" s="146"/>
      <c r="I21" s="103" t="str">
        <f t="shared" ref="I21" si="8">IF(AND(E21="",F21=""),"",IF(ISERROR(F21-E21),"",F21-E21))</f>
        <v/>
      </c>
      <c r="J21" s="311" t="str">
        <f t="shared" ref="J21" si="9">IFERROR(I21/ABS(E21),"")</f>
        <v/>
      </c>
    </row>
    <row r="22" spans="2:10" ht="15" customHeight="1" x14ac:dyDescent="0.25">
      <c r="F22" s="57"/>
      <c r="G22" s="58"/>
      <c r="H22" s="59"/>
    </row>
    <row r="23" spans="2:10" ht="22.5" customHeight="1" x14ac:dyDescent="0.25">
      <c r="B23" s="42" t="s">
        <v>180</v>
      </c>
      <c r="C23" s="144"/>
      <c r="D23" s="144"/>
      <c r="E23" s="144"/>
      <c r="F23" s="684"/>
      <c r="G23" s="685"/>
      <c r="H23" s="686"/>
      <c r="I23" s="103" t="str">
        <f t="shared" ref="I23" si="10">IF(AND(E23="",F23=""),"",IF(ISERROR(F23-E23),"",F23-E23))</f>
        <v/>
      </c>
      <c r="J23" s="311" t="str">
        <f t="shared" ref="J23" si="11">IFERROR(I23/ABS(E23),"")</f>
        <v/>
      </c>
    </row>
    <row r="24" spans="2:10" ht="15" customHeight="1" x14ac:dyDescent="0.25"/>
    <row r="25" spans="2:10" ht="15" customHeight="1" x14ac:dyDescent="0.25">
      <c r="H25" s="64" t="s">
        <v>151</v>
      </c>
      <c r="I25" s="26" t="s">
        <v>0</v>
      </c>
    </row>
    <row r="26" spans="2:10" ht="15" customHeight="1" x14ac:dyDescent="0.25">
      <c r="B26" s="535" t="s">
        <v>248</v>
      </c>
      <c r="C26" s="66">
        <f>IF(Instruções!$C$7="","",IF(ISERROR(Instruções!$C$7),"",Instruções!$C$7-1))</f>
        <v>2022</v>
      </c>
      <c r="D26" s="95">
        <f>IF(Instruções!$C$7="","",IF(ISERROR(Instruções!$C$7),"",Instruções!$C$7))</f>
        <v>2023</v>
      </c>
      <c r="E26" s="95">
        <f>IF(Instruções!$C$7="","",IF(ISERROR(Instruções!$C$7),"",Instruções!$C$7))</f>
        <v>2023</v>
      </c>
      <c r="F26" s="67">
        <f>IF(Instruções!C7="","",IF(ISERROR(Instruções!C7),"",Instruções!C7+1))</f>
        <v>2024</v>
      </c>
      <c r="G26" s="68">
        <f>IF(Instruções!C7="","",IF(ISERROR(Instruções!C7),"",Instruções!C7+2))</f>
        <v>2025</v>
      </c>
      <c r="H26" s="69">
        <f>IF(Instruções!C7="","",IF(ISERROR(Instruções!C7),"",Instruções!C7+3))</f>
        <v>2026</v>
      </c>
      <c r="I26" s="547" t="str">
        <f>IF(ISERROR("Δ ("&amp;Instruções!$C$7+1&amp;"-"&amp;Instruções!$C$7&amp;")"),"","Δ ("&amp;Instruções!$C$7+1&amp;"-"&amp;Instruções!$C$7&amp;")")</f>
        <v>Δ (2024-2023)</v>
      </c>
      <c r="J26" s="548">
        <f>'Eficiência operacional'!J$2</f>
        <v>0</v>
      </c>
    </row>
    <row r="27" spans="2:10" ht="15" customHeight="1" x14ac:dyDescent="0.25">
      <c r="B27" s="535"/>
      <c r="C27" s="70" t="str">
        <f>IF(C26="","","Execução")</f>
        <v>Execução</v>
      </c>
      <c r="D27" s="96" t="str">
        <f>IF(D26="","","PAO")</f>
        <v>PAO</v>
      </c>
      <c r="E27" s="96" t="str">
        <f>IF(E26="","","Estimativa")</f>
        <v>Estimativa</v>
      </c>
      <c r="F27" s="71" t="str">
        <f>IF(F26="","","Previsão")</f>
        <v>Previsão</v>
      </c>
      <c r="G27" s="72" t="str">
        <f>IF(G26="","","Previsão")</f>
        <v>Previsão</v>
      </c>
      <c r="H27" s="73" t="str">
        <f>IF(H26="","","Previsão")</f>
        <v>Previsão</v>
      </c>
      <c r="I27" s="97" t="s">
        <v>117</v>
      </c>
      <c r="J27" s="70" t="s">
        <v>118</v>
      </c>
    </row>
    <row r="28" spans="2:10" ht="3" customHeight="1" x14ac:dyDescent="0.25">
      <c r="B28" s="253"/>
      <c r="C28" s="253"/>
      <c r="D28" s="253"/>
      <c r="E28" s="254"/>
      <c r="F28" s="255"/>
      <c r="G28" s="254"/>
      <c r="H28" s="256"/>
      <c r="I28" s="257"/>
      <c r="J28" s="258"/>
    </row>
    <row r="29" spans="2:10" ht="15" customHeight="1" x14ac:dyDescent="0.25">
      <c r="B29" s="98" t="s">
        <v>244</v>
      </c>
      <c r="C29" s="143"/>
      <c r="D29" s="143"/>
      <c r="E29" s="144"/>
      <c r="F29" s="145"/>
      <c r="G29" s="143"/>
      <c r="H29" s="146"/>
      <c r="I29" s="103" t="str">
        <f t="shared" ref="I29:I36" si="12">IF(AND(E29="",F29=""),"",IF(ISERROR(F29-E29),"",F29-E29))</f>
        <v/>
      </c>
      <c r="J29" s="311" t="str">
        <f t="shared" ref="J29:J36" si="13">IFERROR(I29/ABS(E29),"")</f>
        <v/>
      </c>
    </row>
    <row r="30" spans="2:10" ht="15" customHeight="1" x14ac:dyDescent="0.25">
      <c r="B30" s="98" t="s">
        <v>245</v>
      </c>
      <c r="C30" s="143"/>
      <c r="D30" s="143"/>
      <c r="E30" s="144"/>
      <c r="F30" s="145"/>
      <c r="G30" s="143"/>
      <c r="H30" s="146"/>
      <c r="I30" s="103" t="str">
        <f t="shared" si="12"/>
        <v/>
      </c>
      <c r="J30" s="311" t="str">
        <f t="shared" si="13"/>
        <v/>
      </c>
    </row>
    <row r="31" spans="2:10" ht="15" customHeight="1" x14ac:dyDescent="0.25">
      <c r="B31" s="98" t="s">
        <v>246</v>
      </c>
      <c r="C31" s="143"/>
      <c r="D31" s="143"/>
      <c r="E31" s="144"/>
      <c r="F31" s="145"/>
      <c r="G31" s="143"/>
      <c r="H31" s="146"/>
      <c r="I31" s="103" t="str">
        <f t="shared" si="12"/>
        <v/>
      </c>
      <c r="J31" s="311" t="str">
        <f t="shared" si="13"/>
        <v/>
      </c>
    </row>
    <row r="32" spans="2:10" ht="15" customHeight="1" x14ac:dyDescent="0.25">
      <c r="B32" s="98" t="s">
        <v>247</v>
      </c>
      <c r="C32" s="143"/>
      <c r="D32" s="143"/>
      <c r="E32" s="144"/>
      <c r="F32" s="145"/>
      <c r="G32" s="143"/>
      <c r="H32" s="146"/>
      <c r="I32" s="103" t="str">
        <f t="shared" si="12"/>
        <v/>
      </c>
      <c r="J32" s="311" t="str">
        <f t="shared" si="13"/>
        <v/>
      </c>
    </row>
    <row r="33" spans="2:10" ht="15" customHeight="1" x14ac:dyDescent="0.25">
      <c r="B33" s="98" t="s">
        <v>133</v>
      </c>
      <c r="C33" s="143"/>
      <c r="D33" s="143"/>
      <c r="E33" s="144"/>
      <c r="F33" s="145"/>
      <c r="G33" s="143"/>
      <c r="H33" s="146"/>
      <c r="I33" s="103" t="str">
        <f t="shared" si="12"/>
        <v/>
      </c>
      <c r="J33" s="311" t="str">
        <f t="shared" si="13"/>
        <v/>
      </c>
    </row>
    <row r="34" spans="2:10" ht="15" customHeight="1" x14ac:dyDescent="0.25">
      <c r="B34" s="98" t="s">
        <v>134</v>
      </c>
      <c r="C34" s="143"/>
      <c r="D34" s="143"/>
      <c r="E34" s="144"/>
      <c r="F34" s="145"/>
      <c r="G34" s="143"/>
      <c r="H34" s="146"/>
      <c r="I34" s="103" t="str">
        <f t="shared" si="12"/>
        <v/>
      </c>
      <c r="J34" s="311" t="str">
        <f t="shared" si="13"/>
        <v/>
      </c>
    </row>
    <row r="35" spans="2:10" ht="15" customHeight="1" x14ac:dyDescent="0.25">
      <c r="B35" s="98" t="s">
        <v>135</v>
      </c>
      <c r="C35" s="143"/>
      <c r="D35" s="143"/>
      <c r="E35" s="144"/>
      <c r="F35" s="145"/>
      <c r="G35" s="143"/>
      <c r="H35" s="146"/>
      <c r="I35" s="103" t="str">
        <f t="shared" si="12"/>
        <v/>
      </c>
      <c r="J35" s="311" t="str">
        <f t="shared" si="13"/>
        <v/>
      </c>
    </row>
    <row r="36" spans="2:10" ht="15" customHeight="1" x14ac:dyDescent="0.25">
      <c r="B36" s="98" t="s">
        <v>136</v>
      </c>
      <c r="C36" s="143"/>
      <c r="D36" s="143"/>
      <c r="E36" s="144"/>
      <c r="F36" s="145"/>
      <c r="G36" s="143"/>
      <c r="H36" s="146"/>
      <c r="I36" s="103" t="str">
        <f t="shared" si="12"/>
        <v/>
      </c>
      <c r="J36" s="311" t="str">
        <f t="shared" si="13"/>
        <v/>
      </c>
    </row>
    <row r="37" spans="2:10" ht="3" customHeight="1" x14ac:dyDescent="0.25">
      <c r="B37" s="93"/>
      <c r="C37" s="319"/>
      <c r="D37" s="319"/>
      <c r="E37" s="319"/>
      <c r="F37" s="320"/>
      <c r="G37" s="321"/>
      <c r="H37" s="322"/>
      <c r="I37" s="319"/>
      <c r="J37" s="93"/>
    </row>
    <row r="38" spans="2:10" ht="15" customHeight="1" x14ac:dyDescent="0.25">
      <c r="B38" s="63" t="s">
        <v>123</v>
      </c>
      <c r="C38" s="141" t="str">
        <f t="shared" ref="C38:H38" si="14">IF(COUNT(C29:C36)=0,"",SUM(C29:C36))</f>
        <v/>
      </c>
      <c r="D38" s="141" t="str">
        <f t="shared" si="14"/>
        <v/>
      </c>
      <c r="E38" s="687" t="str">
        <f t="shared" si="14"/>
        <v/>
      </c>
      <c r="F38" s="688" t="str">
        <f t="shared" si="14"/>
        <v/>
      </c>
      <c r="G38" s="689" t="str">
        <f t="shared" si="14"/>
        <v/>
      </c>
      <c r="H38" s="690" t="str">
        <f t="shared" si="14"/>
        <v/>
      </c>
      <c r="I38" s="141" t="str">
        <f>IF(AND(E38="",F38=""),"",IF(ISERROR(F38-E38),"",F38-E38))</f>
        <v/>
      </c>
      <c r="J38" s="317" t="str">
        <f>IFERROR(I38/ABS(E38),"")</f>
        <v/>
      </c>
    </row>
    <row r="39" spans="2:10" ht="15" customHeight="1" x14ac:dyDescent="0.25">
      <c r="B39" s="130" t="str">
        <f>"Fonte: Proposta de PAO para "&amp;Instruções!C9</f>
        <v>Fonte: Proposta de PAO para 2024-2026</v>
      </c>
      <c r="C39" s="131"/>
      <c r="D39" s="131"/>
      <c r="E39" s="94"/>
      <c r="F39" s="94"/>
      <c r="G39" s="93"/>
      <c r="H39" s="93"/>
      <c r="I39" s="93"/>
      <c r="J39" s="93"/>
    </row>
    <row r="40" spans="2:10" ht="15" customHeight="1" x14ac:dyDescent="0.25">
      <c r="B40" s="130"/>
      <c r="C40" s="131"/>
      <c r="D40" s="131"/>
      <c r="E40" s="94"/>
      <c r="F40" s="94"/>
      <c r="G40" s="93"/>
      <c r="H40" s="93"/>
      <c r="I40" s="93"/>
      <c r="J40" s="93"/>
    </row>
    <row r="41" spans="2:10" ht="15" customHeight="1" x14ac:dyDescent="0.25">
      <c r="B41" s="535" t="s">
        <v>298</v>
      </c>
      <c r="C41" s="66">
        <f>IF(Instruções!$C$7="","",IF(ISERROR(Instruções!$C$7),"",Instruções!$C$7-1))</f>
        <v>2022</v>
      </c>
      <c r="D41" s="95">
        <f>IF(Instruções!$C$7="","",IF(ISERROR(Instruções!$C$7),"",Instruções!$C$7))</f>
        <v>2023</v>
      </c>
      <c r="E41" s="95">
        <f>IF(Instruções!$C$7="","",IF(ISERROR(Instruções!$C$7),"",Instruções!$C$7))</f>
        <v>2023</v>
      </c>
      <c r="F41" s="67">
        <f>IF(Instruções!$C$7="","",IF(ISERROR(Instruções!$C$7),"",Instruções!$C$7+1))</f>
        <v>2024</v>
      </c>
      <c r="G41" s="67">
        <f>IF(Instruções!$C$7="","",IF(ISERROR(Instruções!$C$7),"",Instruções!$C$7+2))</f>
        <v>2025</v>
      </c>
      <c r="H41" s="657">
        <f>IF(Instruções!$C$7="","",IF(ISERROR(Instruções!$C$7),"",Instruções!$C$7+3))</f>
        <v>2026</v>
      </c>
      <c r="I41" s="547" t="str">
        <f>IF(ISERROR("Δ ("&amp;Instruções!$C$7+1&amp;"-"&amp;Instruções!$C$7&amp;")"),"","Δ ("&amp;Instruções!$C$7+1&amp;"-"&amp;Instruções!$C$7&amp;")")</f>
        <v>Δ (2024-2023)</v>
      </c>
      <c r="J41" s="548">
        <f>'Eficiência operacional'!J$2</f>
        <v>0</v>
      </c>
    </row>
    <row r="42" spans="2:10" ht="15" customHeight="1" x14ac:dyDescent="0.25">
      <c r="B42" s="535"/>
      <c r="C42" s="70" t="str">
        <f>IF(C41="","","Execução")</f>
        <v>Execução</v>
      </c>
      <c r="D42" s="96" t="str">
        <f>IF(D41="","","PAO")</f>
        <v>PAO</v>
      </c>
      <c r="E42" s="96" t="str">
        <f>IF(E41="","","Estimativa")</f>
        <v>Estimativa</v>
      </c>
      <c r="F42" s="71" t="str">
        <f>IF(F41="","","Previsão")</f>
        <v>Previsão</v>
      </c>
      <c r="G42" s="72" t="str">
        <f>IF(G41="","","Previsão")</f>
        <v>Previsão</v>
      </c>
      <c r="H42" s="73" t="str">
        <f>IF(H41="","","Previsão")</f>
        <v>Previsão</v>
      </c>
      <c r="I42" s="97" t="s">
        <v>117</v>
      </c>
      <c r="J42" s="70" t="s">
        <v>118</v>
      </c>
    </row>
    <row r="43" spans="2:10" ht="3" customHeight="1" x14ac:dyDescent="0.25">
      <c r="B43" s="422"/>
      <c r="C43" s="131"/>
      <c r="D43" s="131"/>
      <c r="E43" s="94"/>
      <c r="F43" s="692"/>
      <c r="G43" s="120"/>
      <c r="H43" s="121"/>
      <c r="I43" s="93"/>
      <c r="J43" s="93"/>
    </row>
    <row r="44" spans="2:10" ht="15" customHeight="1" x14ac:dyDescent="0.25">
      <c r="B44" s="98" t="s">
        <v>299</v>
      </c>
      <c r="C44" s="143"/>
      <c r="D44" s="143"/>
      <c r="E44" s="144"/>
      <c r="F44" s="145"/>
      <c r="G44" s="143"/>
      <c r="H44" s="146"/>
      <c r="I44" s="103" t="str">
        <f>IF(AND(E44="",F44=""),"",IF(ISERROR(F44-E44),"",F44-E44))</f>
        <v/>
      </c>
      <c r="J44" s="311" t="str">
        <f>IFERROR(I44/ABS(E44),"")</f>
        <v/>
      </c>
    </row>
    <row r="45" spans="2:10" ht="15" customHeight="1" x14ac:dyDescent="0.25">
      <c r="B45" s="98" t="s">
        <v>301</v>
      </c>
      <c r="C45" s="143"/>
      <c r="D45" s="143"/>
      <c r="E45" s="144"/>
      <c r="F45" s="145"/>
      <c r="G45" s="143"/>
      <c r="H45" s="146"/>
      <c r="I45" s="103" t="str">
        <f>IF(AND(E45="",F45=""),"",IF(ISERROR(F45-E45),"",F45-E45))</f>
        <v/>
      </c>
      <c r="J45" s="311" t="str">
        <f>IFERROR(I45/ABS(E45),"")</f>
        <v/>
      </c>
    </row>
    <row r="46" spans="2:10" s="423" customFormat="1" ht="3" customHeight="1" x14ac:dyDescent="0.25">
      <c r="B46" s="424"/>
      <c r="C46" s="425"/>
      <c r="D46" s="425"/>
      <c r="E46" s="691"/>
      <c r="F46" s="693"/>
      <c r="G46" s="425"/>
      <c r="H46" s="694"/>
      <c r="I46" s="421"/>
      <c r="J46" s="419"/>
    </row>
    <row r="47" spans="2:10" ht="15" customHeight="1" x14ac:dyDescent="0.25">
      <c r="B47" s="98" t="s">
        <v>300</v>
      </c>
      <c r="C47" s="143"/>
      <c r="D47" s="143"/>
      <c r="E47" s="144"/>
      <c r="F47" s="145"/>
      <c r="G47" s="143"/>
      <c r="H47" s="146"/>
      <c r="I47" s="103" t="str">
        <f>IF(AND(E47="",F47=""),"",IF(ISERROR(F47-E47),"",F47-E47))</f>
        <v/>
      </c>
      <c r="J47" s="311" t="str">
        <f>IFERROR(I47/ABS(E47),"")</f>
        <v/>
      </c>
    </row>
    <row r="48" spans="2:10" ht="15" customHeight="1" x14ac:dyDescent="0.25">
      <c r="B48" s="98" t="s">
        <v>302</v>
      </c>
      <c r="C48" s="143"/>
      <c r="D48" s="143"/>
      <c r="E48" s="144"/>
      <c r="F48" s="695"/>
      <c r="G48" s="696"/>
      <c r="H48" s="686"/>
      <c r="I48" s="103" t="str">
        <f>IF(AND(E48="",F48=""),"",IF(ISERROR(F48-E48),"",F48-E48))</f>
        <v/>
      </c>
      <c r="J48" s="311" t="str">
        <f>IFERROR(I48/ABS(E48),"")</f>
        <v/>
      </c>
    </row>
    <row r="49" spans="2:10" ht="15" customHeight="1" x14ac:dyDescent="0.25">
      <c r="B49" s="130"/>
      <c r="C49" s="131"/>
      <c r="D49" s="131"/>
      <c r="E49" s="94"/>
      <c r="F49" s="94"/>
      <c r="G49" s="93"/>
      <c r="H49" s="93"/>
      <c r="I49" s="93"/>
      <c r="J49" s="93"/>
    </row>
    <row r="50" spans="2:10" ht="15" customHeight="1" x14ac:dyDescent="0.25">
      <c r="B50" s="130"/>
      <c r="C50" s="131"/>
      <c r="D50" s="131"/>
      <c r="E50" s="94"/>
      <c r="F50" s="94"/>
      <c r="G50" s="93"/>
      <c r="H50" s="93"/>
      <c r="I50" s="93"/>
      <c r="J50" s="93"/>
    </row>
    <row r="51" spans="2:10" ht="15" customHeight="1" x14ac:dyDescent="0.25">
      <c r="B51" s="561" t="s">
        <v>346</v>
      </c>
      <c r="C51" s="66">
        <f>IF(Instruções!$C$7="","",IF(ISERROR(Instruções!$C$7),"",Instruções!$C$7-1))</f>
        <v>2022</v>
      </c>
      <c r="D51" s="95">
        <f>IF(Instruções!$C$7="","",IF(ISERROR(Instruções!$C$7),"",Instruções!$C$7))</f>
        <v>2023</v>
      </c>
      <c r="E51" s="95">
        <f>IF(Instruções!$C$7="","",IF(ISERROR(Instruções!$C$7),"",Instruções!$C$7))</f>
        <v>2023</v>
      </c>
      <c r="F51" s="67">
        <f>IF(Instruções!$C$7="","",IF(ISERROR(Instruções!$C$7),"",Instruções!$C$7+1))</f>
        <v>2024</v>
      </c>
      <c r="G51" s="67">
        <f>IF(Instruções!$C$7="","",IF(ISERROR(Instruções!$C$7),"",Instruções!$C$7+2))</f>
        <v>2025</v>
      </c>
      <c r="H51" s="657">
        <f>IF(Instruções!$C$7="","",IF(ISERROR(Instruções!$C$7),"",Instruções!$C$7+3))</f>
        <v>2026</v>
      </c>
      <c r="I51" s="547" t="str">
        <f>IF(ISERROR("Δ ("&amp;Instruções!$C$7+1&amp;"-"&amp;Instruções!$C$7&amp;")"),"","Δ ("&amp;Instruções!$C$7+1&amp;"-"&amp;Instruções!$C$7&amp;")")</f>
        <v>Δ (2024-2023)</v>
      </c>
      <c r="J51" s="548">
        <f>'Eficiência operacional'!J$2</f>
        <v>0</v>
      </c>
    </row>
    <row r="52" spans="2:10" ht="20.25" customHeight="1" x14ac:dyDescent="0.25">
      <c r="B52" s="562"/>
      <c r="C52" s="70" t="str">
        <f>IF(C51="","","Execução")</f>
        <v>Execução</v>
      </c>
      <c r="D52" s="96" t="str">
        <f>IF(D51="","","PAO")</f>
        <v>PAO</v>
      </c>
      <c r="E52" s="96" t="str">
        <f>IF(E51="","","Estimativa")</f>
        <v>Estimativa</v>
      </c>
      <c r="F52" s="71" t="str">
        <f>IF(F51="","","Previsão")</f>
        <v>Previsão</v>
      </c>
      <c r="G52" s="72" t="str">
        <f>IF(G51="","","Previsão")</f>
        <v>Previsão</v>
      </c>
      <c r="H52" s="73" t="str">
        <f>IF(H51="","","Previsão")</f>
        <v>Previsão</v>
      </c>
      <c r="I52" s="97" t="s">
        <v>117</v>
      </c>
      <c r="J52" s="70" t="s">
        <v>118</v>
      </c>
    </row>
    <row r="53" spans="2:10" ht="3" customHeight="1" x14ac:dyDescent="0.25">
      <c r="F53" s="57"/>
      <c r="G53" s="58"/>
      <c r="H53" s="59"/>
    </row>
    <row r="54" spans="2:10" ht="15" customHeight="1" x14ac:dyDescent="0.25">
      <c r="B54" s="98" t="s">
        <v>358</v>
      </c>
      <c r="C54" s="143"/>
      <c r="D54" s="143"/>
      <c r="E54" s="144"/>
      <c r="F54" s="145"/>
      <c r="G54" s="143"/>
      <c r="H54" s="146"/>
      <c r="I54" s="103" t="str">
        <f>IF(AND(E54="",F54=""),"",IF(ISERROR(F54-E54),"",F54-E54))</f>
        <v/>
      </c>
      <c r="J54" s="311" t="str">
        <f>IFERROR(I54/ABS(E54),"")</f>
        <v/>
      </c>
    </row>
    <row r="55" spans="2:10" ht="15" customHeight="1" x14ac:dyDescent="0.25">
      <c r="B55" s="98" t="s">
        <v>359</v>
      </c>
      <c r="C55" s="143"/>
      <c r="D55" s="143"/>
      <c r="E55" s="144"/>
      <c r="F55" s="145"/>
      <c r="G55" s="143"/>
      <c r="H55" s="146"/>
      <c r="I55" s="103"/>
      <c r="J55" s="311"/>
    </row>
    <row r="56" spans="2:10" ht="15" customHeight="1" x14ac:dyDescent="0.25">
      <c r="B56" s="98" t="s">
        <v>360</v>
      </c>
      <c r="C56" s="143"/>
      <c r="D56" s="143"/>
      <c r="E56" s="144"/>
      <c r="F56" s="145"/>
      <c r="G56" s="143"/>
      <c r="H56" s="146"/>
      <c r="I56" s="103"/>
      <c r="J56" s="311"/>
    </row>
    <row r="57" spans="2:10" ht="15" customHeight="1" x14ac:dyDescent="0.25">
      <c r="B57" s="98" t="s">
        <v>347</v>
      </c>
      <c r="C57" s="143"/>
      <c r="D57" s="143"/>
      <c r="E57" s="144"/>
      <c r="F57" s="145"/>
      <c r="G57" s="143"/>
      <c r="H57" s="146"/>
      <c r="I57" s="103"/>
      <c r="J57" s="311"/>
    </row>
    <row r="58" spans="2:10" ht="15" customHeight="1" x14ac:dyDescent="0.25">
      <c r="B58" s="98" t="s">
        <v>361</v>
      </c>
      <c r="C58" s="143"/>
      <c r="D58" s="143"/>
      <c r="E58" s="144"/>
      <c r="F58" s="145"/>
      <c r="G58" s="143"/>
      <c r="H58" s="146"/>
      <c r="I58" s="103" t="str">
        <f>IF(AND(E58="",F58=""),"",IF(ISERROR(F58-E58),"",F58-E58))</f>
        <v/>
      </c>
      <c r="J58" s="311" t="str">
        <f>IFERROR(I58/ABS(E58),"")</f>
        <v/>
      </c>
    </row>
    <row r="59" spans="2:10" ht="3" customHeight="1" x14ac:dyDescent="0.25">
      <c r="F59" s="57"/>
      <c r="G59" s="58"/>
      <c r="H59" s="59"/>
    </row>
    <row r="60" spans="2:10" ht="15" customHeight="1" x14ac:dyDescent="0.25">
      <c r="B60" s="63" t="s">
        <v>123</v>
      </c>
      <c r="C60" s="141" t="str">
        <f>IF(COUNT(C54:C58)=0,"",SUM(C54:C58))</f>
        <v/>
      </c>
      <c r="D60" s="141" t="str">
        <f t="shared" ref="D60:H60" si="15">IF(COUNT(D54:D58)=0,"",SUM(D54:D58))</f>
        <v/>
      </c>
      <c r="E60" s="687" t="str">
        <f t="shared" si="15"/>
        <v/>
      </c>
      <c r="F60" s="688" t="str">
        <f t="shared" si="15"/>
        <v/>
      </c>
      <c r="G60" s="689" t="str">
        <f t="shared" si="15"/>
        <v/>
      </c>
      <c r="H60" s="690" t="str">
        <f t="shared" si="15"/>
        <v/>
      </c>
      <c r="I60" s="141" t="str">
        <f>IF(AND(E60="",F60=""),"",IF(ISERROR(F60-E60),"",F60-E60))</f>
        <v/>
      </c>
      <c r="J60" s="317" t="str">
        <f>IFERROR(I60/ABS(E60),"")</f>
        <v/>
      </c>
    </row>
    <row r="61" spans="2:10" ht="15" customHeight="1" x14ac:dyDescent="0.25"/>
    <row r="62" spans="2:10" ht="15" customHeight="1" x14ac:dyDescent="0.25"/>
    <row r="63" spans="2:10" ht="15" customHeight="1" x14ac:dyDescent="0.25">
      <c r="B63" s="78"/>
      <c r="C63" s="78"/>
      <c r="D63" s="78"/>
      <c r="E63" s="78"/>
      <c r="F63" s="75"/>
      <c r="G63" s="75"/>
      <c r="H63" s="75"/>
      <c r="I63" s="75"/>
      <c r="J63" s="75"/>
    </row>
    <row r="64" spans="2:10" ht="15" customHeight="1" x14ac:dyDescent="0.25"/>
    <row r="65" ht="15" customHeight="1" x14ac:dyDescent="0.25"/>
    <row r="66" ht="15" customHeight="1" x14ac:dyDescent="0.25"/>
    <row r="67" ht="15" customHeight="1" x14ac:dyDescent="0.25"/>
  </sheetData>
  <sheetProtection sheet="1" selectLockedCells="1"/>
  <mergeCells count="10">
    <mergeCell ref="B51:B52"/>
    <mergeCell ref="I51:J51"/>
    <mergeCell ref="B41:B42"/>
    <mergeCell ref="I41:J41"/>
    <mergeCell ref="B3:B4"/>
    <mergeCell ref="I3:J3"/>
    <mergeCell ref="B18:B19"/>
    <mergeCell ref="I18:J18"/>
    <mergeCell ref="B26:B27"/>
    <mergeCell ref="I26:J26"/>
  </mergeCells>
  <dataValidations count="5">
    <dataValidation type="custom" allowBlank="1" showInputMessage="1" showErrorMessage="1" errorTitle="Erro" error="Não introduzir dados nesta célula" sqref="H2:I2 H17:I17 H25:I25 C37:H37 I27:J27 B37:B40 C39:H40 I29:J40 F42:J42 I44:J48 F52:J52 I54:J58 B60 I60:J60" xr:uid="{5AE82930-A538-4CF5-975F-A8898FF78887}">
      <formula1>"&lt;&gt;"""""</formula1>
    </dataValidation>
    <dataValidation type="custom" allowBlank="1" showInputMessage="1" errorTitle="Erro" error="Não introduzir dados nesta célula" sqref="B26:B27 C38:H38 B41 B51 C60:H60" xr:uid="{0809CD3D-B9B9-48AF-B3A1-92AF46B98187}">
      <formula1>"&lt;&gt;"""""</formula1>
    </dataValidation>
    <dataValidation type="decimal" allowBlank="1" showInputMessage="1" showErrorMessage="1" errorTitle="Validação" error="Introduzir nº decimal" sqref="C33:D36 G33:H36" xr:uid="{2ACDAED3-1B6F-425E-B090-3DAC25174C7B}">
      <formula1>-1E+32</formula1>
      <formula2>1E+32</formula2>
    </dataValidation>
    <dataValidation type="whole" operator="greaterThanOrEqual" allowBlank="1" showInputMessage="1" showErrorMessage="1" errorTitle="Erro" error="Inserir nº positivo_x000a_" sqref="F8:H10 C8:E8" xr:uid="{66246F2E-757F-4E64-8678-E7994163E2B3}">
      <formula1>0</formula1>
    </dataValidation>
    <dataValidation allowBlank="1" showInputMessage="1" showErrorMessage="1" errorTitle="Erro" error="Não introduzir dados nesta célula" sqref="C26:H27 C41:E42 F41:J41 I26:J26 A43:XFD43 K49:K53 B49:J50 B53:J53 C51:E52 F51:J51" xr:uid="{B1D09DE7-707A-487D-85EC-CE684A077AA4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ignoredErrors>
    <ignoredError sqref="E7 G6:H6 G7:H7" unlockedFormula="1"/>
    <ignoredError sqref="E16" formula="1"/>
    <ignoredError sqref="C1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479EE-F592-477A-B165-2CC971B4EA06}">
  <sheetPr>
    <tabColor theme="9" tint="0.79998168889431442"/>
    <pageSetUpPr fitToPage="1"/>
  </sheetPr>
  <dimension ref="A1:AE52"/>
  <sheetViews>
    <sheetView showGridLines="0" zoomScale="115" zoomScaleNormal="115" workbookViewId="0">
      <selection activeCell="G2" sqref="G2"/>
    </sheetView>
  </sheetViews>
  <sheetFormatPr defaultColWidth="0" defaultRowHeight="15" zeroHeight="1" x14ac:dyDescent="0.25"/>
  <cols>
    <col min="1" max="1" width="1.5703125" customWidth="1"/>
    <col min="2" max="2" width="2" customWidth="1"/>
    <col min="3" max="4" width="0.85546875" customWidth="1"/>
    <col min="5" max="5" width="53.140625" customWidth="1"/>
    <col min="6" max="6" width="0.7109375" customWidth="1"/>
    <col min="7" max="7" width="12.140625" customWidth="1"/>
    <col min="8" max="10" width="11.140625" bestFit="1" customWidth="1"/>
    <col min="11" max="11" width="0.7109375" style="48" customWidth="1"/>
    <col min="12" max="13" width="11.85546875" bestFit="1" customWidth="1"/>
    <col min="14" max="14" width="10.42578125" bestFit="1" customWidth="1"/>
    <col min="15" max="15" width="1" customWidth="1"/>
    <col min="16" max="16" width="11.28515625" bestFit="1" customWidth="1"/>
    <col min="17" max="17" width="3.5703125" customWidth="1"/>
    <col min="18" max="23" width="8" customWidth="1"/>
    <col min="24" max="24" width="9.140625" customWidth="1"/>
    <col min="25" max="31" width="0" hidden="1" customWidth="1"/>
    <col min="32" max="16384" width="9.140625" hidden="1"/>
  </cols>
  <sheetData>
    <row r="1" spans="5:28" x14ac:dyDescent="0.25"/>
    <row r="2" spans="5:28" s="92" customFormat="1" x14ac:dyDescent="0.25">
      <c r="I2" s="259" t="s">
        <v>319</v>
      </c>
      <c r="J2" s="412">
        <v>1000</v>
      </c>
      <c r="K2" s="172"/>
      <c r="S2" s="233"/>
      <c r="AB2" s="172"/>
    </row>
    <row r="3" spans="5:28" ht="15" customHeight="1" x14ac:dyDescent="0.3">
      <c r="E3" s="563" t="s">
        <v>170</v>
      </c>
      <c r="G3" s="243">
        <f>IF(Instruções!C7="","",IF(ISERROR(Instruções!C7),"",Instruções!C7))</f>
        <v>2023</v>
      </c>
      <c r="H3" s="324">
        <f>IF(Instruções!C7="","",IF(ISERROR(Instruções!C7),"",Instruções!C7+1))</f>
        <v>2024</v>
      </c>
      <c r="I3" s="324">
        <f>IF(Instruções!C7="","",IF(ISERROR(Instruções!C7),"",Instruções!C7+2))</f>
        <v>2025</v>
      </c>
      <c r="J3" s="413">
        <f>IF(Instruções!C7="","",IF(ISERROR(Instruções!C7),"",Instruções!C7+3))</f>
        <v>2026</v>
      </c>
      <c r="L3" s="572" t="str">
        <f>IF(Instruções!C7="","",Instruções!C7+1&amp;" vs "&amp;Instruções!C7)</f>
        <v>2024 vs 2023</v>
      </c>
      <c r="M3" s="574" t="str">
        <f>IF(Instruções!C7="","",Instruções!C7+2&amp;" vs "&amp;Instruções!C7+1)</f>
        <v>2025 vs 2024</v>
      </c>
      <c r="N3" s="574" t="str">
        <f>IF(Instruções!C7="","",Instruções!C7+3&amp;" vs "&amp;Instruções!C7+2)</f>
        <v>2026 vs 2025</v>
      </c>
      <c r="O3" s="327"/>
      <c r="P3" s="564" t="s">
        <v>163</v>
      </c>
      <c r="R3" s="569" t="s">
        <v>164</v>
      </c>
      <c r="S3" s="570"/>
      <c r="T3" s="571"/>
      <c r="U3" s="566" t="s">
        <v>165</v>
      </c>
      <c r="V3" s="567"/>
      <c r="W3" s="568"/>
      <c r="Y3" s="79"/>
      <c r="AB3" s="333"/>
    </row>
    <row r="4" spans="5:28" ht="16.5" x14ac:dyDescent="0.3">
      <c r="E4" s="563"/>
      <c r="G4" s="325" t="str">
        <f>IF(G3="","","Estimativa")</f>
        <v>Estimativa</v>
      </c>
      <c r="H4" s="326" t="str">
        <f>IF(H3="","","Previsão")</f>
        <v>Previsão</v>
      </c>
      <c r="I4" s="326" t="str">
        <f>IF(I3="","","Previsão")</f>
        <v>Previsão</v>
      </c>
      <c r="J4" s="414" t="str">
        <f>IF(J3="","","Previsão")</f>
        <v>Previsão</v>
      </c>
      <c r="L4" s="573"/>
      <c r="M4" s="575"/>
      <c r="N4" s="575"/>
      <c r="O4" s="327"/>
      <c r="P4" s="565"/>
      <c r="R4" s="81" t="s">
        <v>166</v>
      </c>
      <c r="S4" s="81" t="s">
        <v>167</v>
      </c>
      <c r="T4" s="81" t="s">
        <v>168</v>
      </c>
      <c r="U4" s="81" t="s">
        <v>166</v>
      </c>
      <c r="V4" s="81" t="s">
        <v>167</v>
      </c>
      <c r="W4" s="81" t="s">
        <v>168</v>
      </c>
      <c r="Y4" s="79"/>
      <c r="AB4" s="334"/>
    </row>
    <row r="5" spans="5:28" ht="4.5" customHeight="1" x14ac:dyDescent="0.25">
      <c r="E5" s="41"/>
      <c r="L5" s="80"/>
      <c r="M5" s="80"/>
      <c r="N5" s="80"/>
      <c r="P5" s="80"/>
      <c r="Y5" s="79"/>
      <c r="AB5" s="335"/>
    </row>
    <row r="6" spans="5:28" s="37" customFormat="1" ht="14.25" x14ac:dyDescent="0.2">
      <c r="E6" s="176" t="s">
        <v>322</v>
      </c>
      <c r="F6" s="156"/>
      <c r="G6" s="155"/>
      <c r="H6" s="155"/>
      <c r="I6" s="155"/>
      <c r="J6" s="155"/>
      <c r="K6" s="161"/>
      <c r="L6" s="155"/>
      <c r="M6" s="155"/>
      <c r="N6" s="155"/>
      <c r="O6" s="156"/>
      <c r="P6" s="155"/>
      <c r="R6" s="155"/>
      <c r="S6" s="155"/>
      <c r="T6" s="155"/>
      <c r="U6" s="155"/>
      <c r="V6" s="155"/>
      <c r="W6" s="155"/>
      <c r="Y6" s="177"/>
      <c r="AA6" s="153"/>
      <c r="AB6" s="336"/>
    </row>
    <row r="7" spans="5:28" s="37" customFormat="1" ht="14.25" x14ac:dyDescent="0.2">
      <c r="E7" s="178" t="s">
        <v>169</v>
      </c>
      <c r="F7" s="156"/>
      <c r="G7" s="178"/>
      <c r="H7" s="178"/>
      <c r="I7" s="178"/>
      <c r="J7" s="178"/>
      <c r="K7" s="161"/>
      <c r="L7" s="430">
        <f>+Instruções!F13/100</f>
        <v>5.0999999999999997E-2</v>
      </c>
      <c r="M7" s="430">
        <f>+Instruções!G13/100</f>
        <v>4.4999999999999998E-2</v>
      </c>
      <c r="N7" s="430">
        <f>+Instruções!H13/100</f>
        <v>4.2000000000000003E-2</v>
      </c>
      <c r="O7" s="156"/>
      <c r="P7" s="448">
        <f>+GEOMEAN(L7:N7)</f>
        <v>4.5850491280347551E-2</v>
      </c>
      <c r="R7" s="179"/>
      <c r="S7" s="179"/>
      <c r="T7" s="179"/>
      <c r="U7" s="179"/>
      <c r="V7" s="179"/>
      <c r="W7" s="179"/>
      <c r="Y7" s="177"/>
      <c r="AA7" s="153"/>
      <c r="AB7" s="336"/>
    </row>
    <row r="8" spans="5:28" s="37" customFormat="1" ht="14.25" customHeight="1" x14ac:dyDescent="0.2">
      <c r="E8" s="178" t="s">
        <v>330</v>
      </c>
      <c r="F8" s="156"/>
      <c r="G8" s="178"/>
      <c r="H8" s="178"/>
      <c r="I8" s="178"/>
      <c r="J8" s="178"/>
      <c r="K8" s="161"/>
      <c r="L8" s="430">
        <f>+Instruções!F15/100</f>
        <v>0.02</v>
      </c>
      <c r="M8" s="430">
        <f>+Instruções!G15/100</f>
        <v>0.02</v>
      </c>
      <c r="N8" s="430">
        <f>+Instruções!H15/100</f>
        <v>1.9E-2</v>
      </c>
      <c r="O8" s="156"/>
      <c r="P8" s="448">
        <f>+GEOMEAN(L8:N8)</f>
        <v>1.9660951449831172E-2</v>
      </c>
      <c r="R8" s="179"/>
      <c r="S8" s="179"/>
      <c r="T8" s="179"/>
      <c r="U8" s="179"/>
      <c r="V8" s="179"/>
      <c r="W8" s="179"/>
      <c r="Y8" s="177"/>
      <c r="AA8" s="153"/>
      <c r="AB8" s="154"/>
    </row>
    <row r="9" spans="5:28" s="37" customFormat="1" ht="14.25" customHeight="1" x14ac:dyDescent="0.2">
      <c r="E9" s="178" t="s">
        <v>332</v>
      </c>
      <c r="F9" s="156"/>
      <c r="G9" s="178"/>
      <c r="H9" s="178"/>
      <c r="I9" s="178"/>
      <c r="J9" s="178"/>
      <c r="K9" s="161"/>
      <c r="L9" s="430">
        <f>+Instruções!F22/100</f>
        <v>2.8999999999999998E-2</v>
      </c>
      <c r="M9" s="430">
        <f>+Instruções!G22/100</f>
        <v>2.1000000000000001E-2</v>
      </c>
      <c r="N9" s="430">
        <f>+Instruções!H22/100</f>
        <v>0.02</v>
      </c>
      <c r="O9" s="156"/>
      <c r="P9" s="448">
        <f>+GEOMEAN(L9:N9)</f>
        <v>2.3008188640665558E-2</v>
      </c>
      <c r="R9" s="179"/>
      <c r="S9" s="179"/>
      <c r="T9" s="179"/>
      <c r="U9" s="179"/>
      <c r="V9" s="179"/>
      <c r="W9" s="179"/>
      <c r="Y9" s="177"/>
      <c r="AA9" s="153"/>
      <c r="AB9" s="154"/>
    </row>
    <row r="10" spans="5:28" s="37" customFormat="1" ht="3.75" customHeight="1" x14ac:dyDescent="0.2">
      <c r="E10" s="180"/>
      <c r="F10" s="156"/>
      <c r="K10" s="161"/>
      <c r="L10" s="156"/>
      <c r="M10" s="156"/>
      <c r="N10" s="156"/>
      <c r="O10" s="156"/>
      <c r="P10" s="449"/>
      <c r="R10" s="156"/>
      <c r="S10" s="156"/>
      <c r="T10" s="156"/>
      <c r="U10" s="156"/>
      <c r="V10" s="156"/>
      <c r="W10" s="156"/>
      <c r="Y10" s="156"/>
      <c r="AA10" s="153"/>
      <c r="AB10" s="337"/>
    </row>
    <row r="11" spans="5:28" s="37" customFormat="1" ht="14.25" customHeight="1" x14ac:dyDescent="0.2">
      <c r="E11" s="181" t="s">
        <v>324</v>
      </c>
      <c r="F11" s="156"/>
      <c r="G11" s="102"/>
      <c r="H11" s="102"/>
      <c r="I11" s="102"/>
      <c r="J11" s="100"/>
      <c r="K11" s="161"/>
      <c r="L11" s="457" t="str">
        <f>IF(AND(H11="",G11=""),"",IFERROR(H11/G11-1,""))</f>
        <v/>
      </c>
      <c r="M11" s="457" t="str">
        <f>IF(AND(I11="",H11=""),"",IFERROR(I11/H11-1,""))</f>
        <v/>
      </c>
      <c r="N11" s="457" t="str">
        <f t="shared" ref="N11" si="0">IF(AND(J11="",I11=""),"",IFERROR(J11/I11-1,""))</f>
        <v/>
      </c>
      <c r="O11" s="260"/>
      <c r="P11" s="443" t="str">
        <f>IFERROR(($J11/$G11)^(1/($J$3-$G$3))-1,"")</f>
        <v/>
      </c>
      <c r="R11" s="444" t="str">
        <f>IF(L11="","",IF(L11&lt;L7,"S",""))</f>
        <v/>
      </c>
      <c r="S11" s="444" t="str">
        <f>IF(L11="","",IF(L11&gt;L7,"N",""))</f>
        <v/>
      </c>
      <c r="T11" s="152"/>
      <c r="U11" s="194" t="str">
        <f>IF(P11="","",IF(P11&lt;P7,"S",""))</f>
        <v/>
      </c>
      <c r="V11" s="194" t="str">
        <f>IF(P11="","",IF(P11&gt;P7,"N",""))</f>
        <v/>
      </c>
      <c r="W11" s="152"/>
      <c r="Y11" s="177"/>
      <c r="AA11" s="153"/>
      <c r="AB11" s="338"/>
    </row>
    <row r="12" spans="5:28" s="37" customFormat="1" ht="14.25" customHeight="1" x14ac:dyDescent="0.2">
      <c r="E12" s="181" t="s">
        <v>353</v>
      </c>
      <c r="F12" s="156"/>
      <c r="G12" s="102"/>
      <c r="H12" s="102"/>
      <c r="I12" s="102"/>
      <c r="J12" s="100"/>
      <c r="K12" s="161"/>
      <c r="L12" s="182" t="str">
        <f t="shared" ref="L12:N12" si="1">IF(OR(H12="",G12=""),"",IFERROR(H12-G12,""))</f>
        <v/>
      </c>
      <c r="M12" s="182" t="str">
        <f t="shared" si="1"/>
        <v/>
      </c>
      <c r="N12" s="182" t="str">
        <f t="shared" si="1"/>
        <v/>
      </c>
      <c r="O12" s="156"/>
      <c r="P12" s="182" t="str">
        <f t="shared" ref="P12:P18" si="2">IFERROR(AVERAGE(L12:N12),"")</f>
        <v/>
      </c>
      <c r="R12" s="444" t="str">
        <f>IF($L12="","",IF($L12&gt;=0,"S",""))</f>
        <v/>
      </c>
      <c r="S12" s="444" t="str">
        <f>IF($L12="","",IF($L12&lt;0,"N",""))</f>
        <v/>
      </c>
      <c r="T12" s="152"/>
      <c r="U12" s="444" t="str">
        <f>IF($P12="","",IF($P12&gt;=0,"S",""))</f>
        <v/>
      </c>
      <c r="V12" s="444" t="str">
        <f>IF($P12="","",IF($P12&lt;0,"N",""))</f>
        <v/>
      </c>
      <c r="W12" s="152"/>
      <c r="Y12" s="177"/>
      <c r="AA12" s="153"/>
      <c r="AB12" s="329"/>
    </row>
    <row r="13" spans="5:28" s="37" customFormat="1" ht="14.25" customHeight="1" x14ac:dyDescent="0.2">
      <c r="E13" s="263" t="s">
        <v>325</v>
      </c>
      <c r="F13" s="156"/>
      <c r="G13" s="102"/>
      <c r="H13" s="102"/>
      <c r="I13" s="102"/>
      <c r="J13" s="100"/>
      <c r="K13" s="161"/>
      <c r="L13" s="182" t="str">
        <f t="shared" ref="L13" si="3">IF(OR(H13="",G13=""),"",IFERROR(H13-G13,""))</f>
        <v/>
      </c>
      <c r="M13" s="182" t="str">
        <f t="shared" ref="M13" si="4">IF(OR(I13="",H13=""),"",IFERROR(I13-H13,""))</f>
        <v/>
      </c>
      <c r="N13" s="182" t="str">
        <f>IF(OR(J13="",I13=""),"",IFERROR(J13-I13,""))</f>
        <v/>
      </c>
      <c r="O13" s="156"/>
      <c r="P13" s="182" t="str">
        <f t="shared" si="2"/>
        <v/>
      </c>
      <c r="R13" s="444" t="str">
        <f>IF($L13="","",IF($L13&gt;=0,"S",""))</f>
        <v/>
      </c>
      <c r="S13" s="444" t="str">
        <f>IF($L13="","",IF($L13&lt;0,"N",""))</f>
        <v/>
      </c>
      <c r="T13" s="152"/>
      <c r="U13" s="444" t="str">
        <f>IF($P13="","",IF($P13&gt;=0,"S",""))</f>
        <v/>
      </c>
      <c r="V13" s="444" t="str">
        <f>IF($P13="","",IF($P13&lt;0,"N",""))</f>
        <v/>
      </c>
      <c r="W13" s="152"/>
      <c r="Y13" s="177"/>
      <c r="AA13" s="153"/>
      <c r="AB13" s="331"/>
    </row>
    <row r="14" spans="5:28" s="37" customFormat="1" ht="14.25" customHeight="1" x14ac:dyDescent="0.2">
      <c r="E14" s="263" t="s">
        <v>327</v>
      </c>
      <c r="F14" s="156"/>
      <c r="G14" s="445"/>
      <c r="H14" s="445"/>
      <c r="I14" s="445"/>
      <c r="J14" s="446"/>
      <c r="K14" s="161"/>
      <c r="L14" s="447" t="str">
        <f t="shared" ref="L14" si="5">IF(OR(H14="",G14=""),"",IFERROR((H14-G14)*1000,""))</f>
        <v/>
      </c>
      <c r="M14" s="447" t="str">
        <f>IF(OR(I14="",H14=""),"",IFERROR((I14-H14)*1000,""))</f>
        <v/>
      </c>
      <c r="N14" s="447" t="str">
        <f t="shared" ref="N14" si="6">IF(OR(J14="",I14=""),"",IFERROR((J14-I14)*1000,""))</f>
        <v/>
      </c>
      <c r="O14" s="156"/>
      <c r="P14" s="447" t="str">
        <f t="shared" si="2"/>
        <v/>
      </c>
      <c r="R14" s="444" t="str">
        <f>IF($L14="","",IF($L14&gt;=0,"S",""))</f>
        <v/>
      </c>
      <c r="S14" s="444" t="str">
        <f>IF($L14="","",IF($L14&lt;0,"N",""))</f>
        <v/>
      </c>
      <c r="T14" s="152"/>
      <c r="U14" s="444" t="str">
        <f>IF($P14="","",IF($P14&gt;=0,"S",""))</f>
        <v/>
      </c>
      <c r="V14" s="444" t="str">
        <f>IF($P14="","",IF($P14&lt;0,"N",""))</f>
        <v/>
      </c>
      <c r="W14" s="152"/>
      <c r="Y14" s="177"/>
      <c r="AA14" s="153"/>
      <c r="AB14" s="331"/>
    </row>
    <row r="15" spans="5:28" s="37" customFormat="1" ht="14.25" customHeight="1" x14ac:dyDescent="0.2">
      <c r="E15" s="263" t="s">
        <v>326</v>
      </c>
      <c r="F15" s="156"/>
      <c r="G15" s="482"/>
      <c r="H15" s="482"/>
      <c r="I15" s="482"/>
      <c r="J15" s="483"/>
      <c r="K15" s="484"/>
      <c r="L15" s="485" t="str">
        <f>IF(OR(H15="",G15=""),"",IFERROR(H15-G15,""))</f>
        <v/>
      </c>
      <c r="M15" s="485" t="str">
        <f t="shared" ref="M15" si="7">IF(OR(I15="",H15=""),"",IFERROR(I15-H15,""))</f>
        <v/>
      </c>
      <c r="N15" s="485" t="str">
        <f t="shared" ref="N15" si="8">IF(OR(J15="",I15=""),"",IFERROR(J15-I15,""))</f>
        <v/>
      </c>
      <c r="O15" s="486"/>
      <c r="P15" s="485" t="str">
        <f t="shared" si="2"/>
        <v/>
      </c>
      <c r="R15" s="444" t="str">
        <f>IF($L15="","",IF($L15&gt;=0,"S",""))</f>
        <v/>
      </c>
      <c r="S15" s="444" t="str">
        <f>IF($L15="","",IF($L15&lt;0,"N",""))</f>
        <v/>
      </c>
      <c r="T15" s="152"/>
      <c r="U15" s="444" t="str">
        <f>IF($P15="","",IF($P15&gt;=0,"S",""))</f>
        <v/>
      </c>
      <c r="V15" s="444" t="str">
        <f>IF($P15="","",IF($P15&lt;0,"N",""))</f>
        <v/>
      </c>
      <c r="W15" s="152"/>
      <c r="Y15" s="177"/>
      <c r="AA15" s="153"/>
      <c r="AB15" s="331"/>
    </row>
    <row r="16" spans="5:28" s="37" customFormat="1" ht="14.25" customHeight="1" x14ac:dyDescent="0.2">
      <c r="E16" s="263" t="s">
        <v>328</v>
      </c>
      <c r="F16" s="156"/>
      <c r="G16" s="445"/>
      <c r="H16" s="445"/>
      <c r="I16" s="445"/>
      <c r="J16" s="446"/>
      <c r="K16" s="161"/>
      <c r="L16" s="447" t="str">
        <f>IF(OR(H16="",G16=""),"",IFERROR((H16-G16)*1000,""))</f>
        <v/>
      </c>
      <c r="M16" s="447" t="str">
        <f>IF(OR(I16="",H16=""),"",IFERROR((I16-H16)*1000,""))</f>
        <v/>
      </c>
      <c r="N16" s="447" t="str">
        <f t="shared" ref="N16" si="9">IF(OR(J16="",I16=""),"",IFERROR((J16-I16)*1000,""))</f>
        <v/>
      </c>
      <c r="O16" s="156"/>
      <c r="P16" s="447" t="str">
        <f t="shared" si="2"/>
        <v/>
      </c>
      <c r="R16" s="444" t="str">
        <f>IF($L16="","",IF($L16&gt;=0,"S",""))</f>
        <v/>
      </c>
      <c r="S16" s="444" t="str">
        <f>IF($L16="","",IF($L16&lt;0,"N",""))</f>
        <v/>
      </c>
      <c r="T16" s="152"/>
      <c r="U16" s="444" t="str">
        <f>IF($P16="","",IF($P16&gt;=0,"S",""))</f>
        <v/>
      </c>
      <c r="V16" s="444" t="str">
        <f>IF($P16="","",IF($P16&lt;0,"N",""))</f>
        <v/>
      </c>
      <c r="W16" s="152"/>
      <c r="Y16" s="177"/>
      <c r="AA16" s="153"/>
      <c r="AB16" s="331"/>
    </row>
    <row r="17" spans="5:28" s="37" customFormat="1" ht="14.25" customHeight="1" x14ac:dyDescent="0.2">
      <c r="E17" s="263" t="s">
        <v>333</v>
      </c>
      <c r="F17" s="156"/>
      <c r="G17" s="102"/>
      <c r="H17" s="102"/>
      <c r="I17" s="102"/>
      <c r="J17" s="100"/>
      <c r="K17" s="161"/>
      <c r="L17" s="472" t="str">
        <f>IF(OR(H17="",G17=""),"",IFERROR(Outros!F$14/$J$2,""))</f>
        <v/>
      </c>
      <c r="M17" s="472" t="str">
        <f>IF(OR(I17="",H17=""),"",IFERROR(Outros!G$14/$J$2,""))</f>
        <v/>
      </c>
      <c r="N17" s="472" t="str">
        <f>IF(OR(J17="",I17=""),"",IFERROR(Outros!H$14/$J$2,""))</f>
        <v/>
      </c>
      <c r="O17" s="156"/>
      <c r="P17" s="472" t="str">
        <f t="shared" si="2"/>
        <v/>
      </c>
      <c r="Q17" s="367"/>
      <c r="R17" s="196" t="str">
        <f>IF($L17="","",IF($L17&lt;=0,"S",""))</f>
        <v/>
      </c>
      <c r="S17" s="196" t="str">
        <f>IF($L17="","",IF($L17&lt;=0,"","N"))</f>
        <v/>
      </c>
      <c r="T17" s="152"/>
      <c r="U17" s="196" t="str">
        <f>IF(P17="","",IF($P17&lt;=0,"S",""))</f>
        <v/>
      </c>
      <c r="V17" s="196" t="str">
        <f>IF(P17="","",IF($P17&lt;=0,"","N"))</f>
        <v/>
      </c>
      <c r="W17" s="152"/>
      <c r="Y17" s="177"/>
      <c r="AA17" s="153"/>
      <c r="AB17" s="331"/>
    </row>
    <row r="18" spans="5:28" s="37" customFormat="1" ht="14.25" customHeight="1" x14ac:dyDescent="0.2">
      <c r="E18" s="263" t="s">
        <v>334</v>
      </c>
      <c r="F18" s="156"/>
      <c r="G18" s="82"/>
      <c r="H18" s="82"/>
      <c r="I18" s="82"/>
      <c r="J18" s="415"/>
      <c r="K18" s="161"/>
      <c r="L18" s="182" t="str">
        <f>IF(OR(H18="",G18=""),"",IFERROR(H18-G18,""))</f>
        <v/>
      </c>
      <c r="M18" s="182" t="str">
        <f>IF(OR(I18="",H18=""),"",IFERROR(I18-H18,""))</f>
        <v/>
      </c>
      <c r="N18" s="182" t="str">
        <f>IF(OR(J18="",I18=""),"",IFERROR(J18-I18,""))</f>
        <v/>
      </c>
      <c r="O18" s="156"/>
      <c r="P18" s="182" t="str">
        <f t="shared" si="2"/>
        <v/>
      </c>
      <c r="R18" s="196" t="str">
        <f>IF($L18="","",IF($L18&lt;=0,"S",""))</f>
        <v/>
      </c>
      <c r="S18" s="196" t="str">
        <f>IF($L18="","",IF($L18&lt;=0,"","N"))</f>
        <v/>
      </c>
      <c r="T18" s="152"/>
      <c r="U18" s="196" t="str">
        <f>IF(P18="","",IF($P18&lt;=0,"S",""))</f>
        <v/>
      </c>
      <c r="V18" s="196" t="str">
        <f>IF(P18="","",IF($P18&lt;=0,"","N"))</f>
        <v/>
      </c>
      <c r="W18" s="152"/>
      <c r="Y18" s="177"/>
      <c r="AA18" s="153"/>
      <c r="AB18" s="331"/>
    </row>
    <row r="19" spans="5:28" s="367" customFormat="1" ht="3" customHeight="1" x14ac:dyDescent="0.2">
      <c r="E19" s="496"/>
      <c r="F19" s="497"/>
      <c r="G19" s="498"/>
      <c r="H19" s="498"/>
      <c r="I19" s="498"/>
      <c r="J19" s="499"/>
      <c r="K19" s="500"/>
      <c r="L19" s="501"/>
      <c r="M19" s="501"/>
      <c r="N19" s="501"/>
      <c r="O19" s="497"/>
      <c r="P19" s="501"/>
      <c r="Q19" s="500"/>
      <c r="R19" s="502"/>
      <c r="S19" s="502"/>
      <c r="T19" s="503"/>
      <c r="U19" s="502"/>
      <c r="V19" s="502"/>
      <c r="W19" s="503"/>
      <c r="Y19" s="491"/>
      <c r="AA19" s="330"/>
      <c r="AB19" s="331"/>
    </row>
    <row r="20" spans="5:28" s="367" customFormat="1" ht="3" customHeight="1" x14ac:dyDescent="0.2">
      <c r="E20" s="263"/>
      <c r="F20" s="260"/>
      <c r="G20" s="504"/>
      <c r="H20" s="504"/>
      <c r="I20" s="504"/>
      <c r="J20" s="505"/>
      <c r="K20" s="487"/>
      <c r="L20" s="494"/>
      <c r="M20" s="494"/>
      <c r="N20" s="494"/>
      <c r="O20" s="260"/>
      <c r="P20" s="494"/>
      <c r="R20" s="495"/>
      <c r="S20" s="495"/>
      <c r="T20" s="506"/>
      <c r="U20" s="495"/>
      <c r="V20" s="495"/>
      <c r="W20" s="506"/>
      <c r="Y20" s="491"/>
      <c r="AA20" s="330"/>
      <c r="AB20" s="331"/>
    </row>
    <row r="21" spans="5:28" s="37" customFormat="1" ht="14.25" customHeight="1" x14ac:dyDescent="0.2">
      <c r="E21" s="263" t="s">
        <v>331</v>
      </c>
      <c r="F21" s="493"/>
      <c r="G21" s="468"/>
      <c r="H21" s="492"/>
      <c r="I21" s="492"/>
      <c r="J21" s="492"/>
      <c r="K21" s="161"/>
      <c r="L21" s="457" t="str">
        <f>IF(AND(H21="",G21=""),"",IFERROR(H21/G21-1,""))</f>
        <v/>
      </c>
      <c r="M21" s="457" t="str">
        <f t="shared" ref="M21" si="10">IF(AND(I21="",H21=""),"",IFERROR(I21/H21-1,""))</f>
        <v/>
      </c>
      <c r="N21" s="457" t="str">
        <f t="shared" ref="N21" si="11">IF(AND(J21="",I21=""),"",IFERROR(J21/I21-1,""))</f>
        <v/>
      </c>
      <c r="O21" s="260"/>
      <c r="P21" s="443" t="str">
        <f>IFERROR(($J21/$G21)^(1/($J$3-$G$3))-1,"")</f>
        <v/>
      </c>
      <c r="R21" s="444" t="str">
        <f>IF(L21="","",IF(L21&lt;L8,"S",""))</f>
        <v/>
      </c>
      <c r="S21" s="444" t="str">
        <f>IF(L21="","",IF(L21&gt;L8,"N",""))</f>
        <v/>
      </c>
      <c r="T21" s="152"/>
      <c r="U21" s="444" t="str">
        <f>IF(P21="","",IF(P21&lt;P8,"S",""))</f>
        <v/>
      </c>
      <c r="V21" s="444" t="str">
        <f>IF(P21="","",IF(P21&gt;P8,"N",""))</f>
        <v/>
      </c>
      <c r="W21" s="152"/>
      <c r="Y21" s="177"/>
      <c r="AA21" s="153"/>
      <c r="AB21" s="154"/>
    </row>
    <row r="22" spans="5:28" s="37" customFormat="1" ht="14.25" customHeight="1" x14ac:dyDescent="0.2">
      <c r="E22" s="263" t="s">
        <v>340</v>
      </c>
      <c r="F22" s="156"/>
      <c r="G22" s="102"/>
      <c r="H22" s="102"/>
      <c r="I22" s="102"/>
      <c r="J22" s="100"/>
      <c r="K22" s="161"/>
      <c r="L22" s="457" t="str">
        <f>IF(AND(H22="",G22=""),"",IFERROR(H22/G22-1,""))</f>
        <v/>
      </c>
      <c r="M22" s="457" t="str">
        <f>IF(AND(I22="",H22=""),"",IFERROR(I22/H22-1,""))</f>
        <v/>
      </c>
      <c r="N22" s="457" t="str">
        <f>IF(AND(J22="",I22=""),"",IFERROR(J22/I22-1,""))</f>
        <v/>
      </c>
      <c r="O22" s="156"/>
      <c r="P22" s="443" t="str">
        <f>IFERROR(($J22/$G22)^(1/($J$3-$G$3))-1,"")</f>
        <v/>
      </c>
      <c r="R22" s="444" t="str">
        <f>IF(L22="","",IF(L22&lt;L11,"S",""))</f>
        <v/>
      </c>
      <c r="S22" s="444" t="str">
        <f>IF(L22="","",IF(L22&gt;L11,"N",""))</f>
        <v/>
      </c>
      <c r="T22" s="436"/>
      <c r="U22" s="194" t="str">
        <f>IF(P22="","",IF(P22&lt;P11,"S",""))</f>
        <v/>
      </c>
      <c r="V22" s="194" t="str">
        <f>IF(P22="","",IF(P22&gt;P11,"N",""))</f>
        <v/>
      </c>
      <c r="W22" s="436"/>
      <c r="Y22" s="177"/>
      <c r="AA22" s="153"/>
      <c r="AB22" s="331"/>
    </row>
    <row r="23" spans="5:28" s="37" customFormat="1" ht="3.75" customHeight="1" x14ac:dyDescent="0.2">
      <c r="E23" s="181"/>
      <c r="F23" s="156"/>
      <c r="K23" s="161"/>
      <c r="L23" s="177"/>
      <c r="M23" s="177"/>
      <c r="N23" s="177"/>
      <c r="O23" s="156"/>
      <c r="P23" s="177"/>
      <c r="R23" s="194"/>
      <c r="S23" s="194"/>
      <c r="T23" s="194"/>
      <c r="U23" s="194"/>
      <c r="V23" s="194"/>
      <c r="W23" s="194"/>
      <c r="Y23" s="177"/>
      <c r="AA23" s="153"/>
      <c r="AB23" s="332"/>
    </row>
    <row r="24" spans="5:28" s="37" customFormat="1" ht="14.25" x14ac:dyDescent="0.2">
      <c r="E24" s="176" t="s">
        <v>345</v>
      </c>
      <c r="F24" s="156"/>
      <c r="G24" s="155"/>
      <c r="H24" s="155"/>
      <c r="I24" s="155"/>
      <c r="J24" s="155"/>
      <c r="K24" s="161"/>
      <c r="L24" s="155"/>
      <c r="M24" s="155"/>
      <c r="N24" s="155"/>
      <c r="O24" s="156"/>
      <c r="P24" s="450"/>
      <c r="R24" s="195"/>
      <c r="S24" s="195"/>
      <c r="T24" s="195"/>
      <c r="U24" s="195"/>
      <c r="V24" s="195"/>
      <c r="W24" s="195"/>
      <c r="Y24" s="177"/>
      <c r="AA24" s="153"/>
      <c r="AB24" s="329"/>
    </row>
    <row r="25" spans="5:28" s="37" customFormat="1" ht="3.75" customHeight="1" x14ac:dyDescent="0.2">
      <c r="E25" s="180"/>
      <c r="F25" s="156"/>
      <c r="K25" s="161"/>
      <c r="L25" s="156"/>
      <c r="M25" s="156"/>
      <c r="N25" s="156"/>
      <c r="O25" s="156"/>
      <c r="P25" s="449"/>
      <c r="R25" s="193"/>
      <c r="S25" s="193"/>
      <c r="T25" s="193"/>
      <c r="U25" s="193"/>
      <c r="V25" s="193"/>
      <c r="W25" s="193"/>
      <c r="Y25" s="177"/>
      <c r="AA25" s="153"/>
      <c r="AB25" s="330"/>
    </row>
    <row r="26" spans="5:28" s="367" customFormat="1" ht="3" customHeight="1" x14ac:dyDescent="0.2">
      <c r="E26" s="263"/>
      <c r="F26" s="260"/>
      <c r="G26" s="263"/>
      <c r="H26" s="263"/>
      <c r="I26" s="263"/>
      <c r="J26" s="263"/>
      <c r="K26" s="487"/>
      <c r="L26" s="488"/>
      <c r="M26" s="488"/>
      <c r="N26" s="488"/>
      <c r="O26" s="260"/>
      <c r="P26" s="489"/>
      <c r="R26" s="490"/>
      <c r="S26" s="490"/>
      <c r="T26" s="490"/>
      <c r="U26" s="490"/>
      <c r="V26" s="490"/>
      <c r="W26" s="490"/>
      <c r="Y26" s="491"/>
      <c r="AA26" s="330"/>
      <c r="AB26" s="329"/>
    </row>
    <row r="27" spans="5:28" s="37" customFormat="1" ht="14.25" customHeight="1" x14ac:dyDescent="0.2">
      <c r="E27" s="263" t="s">
        <v>355</v>
      </c>
      <c r="F27" s="156"/>
      <c r="G27" s="102"/>
      <c r="H27" s="102"/>
      <c r="I27" s="102"/>
      <c r="J27" s="100"/>
      <c r="K27" s="487"/>
      <c r="L27" s="472" t="str">
        <f>IF(OR(H27="",G27=""),"",IFERROR(H27-G27,""))</f>
        <v/>
      </c>
      <c r="M27" s="472" t="str">
        <f t="shared" ref="M27:N27" si="12">IF(OR(I27="",H27=""),"",IFERROR(I27-H27,""))</f>
        <v/>
      </c>
      <c r="N27" s="472" t="str">
        <f t="shared" si="12"/>
        <v/>
      </c>
      <c r="O27" s="156"/>
      <c r="P27" s="472" t="str">
        <f>IFERROR(AVERAGE(L27:N27),"")</f>
        <v/>
      </c>
      <c r="R27" s="196" t="str">
        <f>IF($L27="","",IF($L27&lt;=0,"S",""))</f>
        <v/>
      </c>
      <c r="S27" s="196" t="str">
        <f>IF($L27="","",IF($L27&lt;=0,"","N"))</f>
        <v/>
      </c>
      <c r="T27" s="152"/>
      <c r="U27" s="196" t="str">
        <f>IF(P27=0,"",IF($P27&lt;=0,"S",""))</f>
        <v/>
      </c>
      <c r="V27" s="196" t="str">
        <f>IF(P27="","",IF($P27&lt;=0,"","N"))</f>
        <v/>
      </c>
      <c r="W27" s="152"/>
      <c r="Y27" s="177"/>
      <c r="AA27" s="153"/>
      <c r="AB27" s="154"/>
    </row>
    <row r="28" spans="5:28" s="37" customFormat="1" ht="14.25" x14ac:dyDescent="0.2">
      <c r="E28" s="263" t="s">
        <v>349</v>
      </c>
      <c r="F28" s="157"/>
      <c r="G28" s="102"/>
      <c r="H28" s="102"/>
      <c r="I28" s="102"/>
      <c r="J28" s="100"/>
      <c r="K28" s="416"/>
      <c r="L28" s="472" t="str">
        <f>IF(OR(H28="",G28=""),"",IFERROR(H28-G28,""))</f>
        <v/>
      </c>
      <c r="M28" s="472" t="str">
        <f>IF(OR(I28="",H28=""),"",IFERROR(I28-H28,""))</f>
        <v/>
      </c>
      <c r="N28" s="472" t="str">
        <f>IF(OR(J28="",I28=""),"",IFERROR(J28-I28,""))</f>
        <v/>
      </c>
      <c r="O28" s="157"/>
      <c r="P28" s="472" t="str">
        <f>IFERROR(AVERAGE(L28:N28),"")</f>
        <v/>
      </c>
      <c r="Q28" s="158"/>
      <c r="R28" s="196" t="str">
        <f>IF($L28="","",IF($L28&lt;=0,"S",""))</f>
        <v/>
      </c>
      <c r="S28" s="196" t="str">
        <f>IF($L28="","",IF($L28&lt;=0,"","N"))</f>
        <v/>
      </c>
      <c r="T28" s="152"/>
      <c r="U28" s="196" t="str">
        <f>IF(P28=0,"",IF($P28&lt;=0,"S",""))</f>
        <v/>
      </c>
      <c r="V28" s="196" t="str">
        <f>IF(P28="","",IF($P28&lt;=0,"","N"))</f>
        <v/>
      </c>
      <c r="W28" s="152"/>
    </row>
    <row r="29" spans="5:28" s="37" customFormat="1" ht="14.25" x14ac:dyDescent="0.2">
      <c r="E29" s="263" t="s">
        <v>354</v>
      </c>
      <c r="F29" s="157"/>
      <c r="G29" s="102"/>
      <c r="H29" s="102"/>
      <c r="I29" s="102"/>
      <c r="J29" s="100"/>
      <c r="K29" s="416"/>
      <c r="L29" s="472" t="str">
        <f>IF(OR(H29="",G29=""),"",IFERROR(H29-G29,""))</f>
        <v/>
      </c>
      <c r="M29" s="472" t="str">
        <f>IF(OR(I29="",H29=""),"",IFERROR(I29-H29,""))</f>
        <v/>
      </c>
      <c r="N29" s="472" t="str">
        <f>IF(OR(J29="",I29=""),"",IFERROR(J29-I29,""))</f>
        <v/>
      </c>
      <c r="O29" s="157"/>
      <c r="P29" s="472" t="str">
        <f>IFERROR(AVERAGE(L29:N29),"")</f>
        <v/>
      </c>
      <c r="Q29" s="158"/>
      <c r="R29" s="495" t="str">
        <f>IF($L29="","",IF($L29&lt;=0,"S",IF(AND(Resumo!$E$40=1,(FSE_2024-FSE_2023)&lt;0),"S","")))</f>
        <v/>
      </c>
      <c r="S29" s="495" t="str">
        <f>IF($L29=0,"",IF($L29&lt;=0,"",IF(AND(Resumo!$E$40=-1,(FSE_2024-FSE_2023)&gt;=0),"N","")))</f>
        <v/>
      </c>
      <c r="T29" s="152"/>
      <c r="U29" s="196"/>
      <c r="V29" s="196"/>
      <c r="W29" s="152"/>
    </row>
    <row r="30" spans="5:28" s="234" customFormat="1" ht="14.25" x14ac:dyDescent="0.2">
      <c r="E30" s="517"/>
      <c r="F30" s="518"/>
      <c r="G30" s="519"/>
      <c r="H30" s="519"/>
      <c r="I30" s="519"/>
      <c r="J30" s="519"/>
      <c r="K30" s="518"/>
      <c r="L30" s="519"/>
      <c r="M30" s="519"/>
      <c r="N30" s="519"/>
      <c r="O30" s="518"/>
      <c r="P30" s="520"/>
      <c r="Q30" s="520"/>
      <c r="R30" s="520"/>
      <c r="S30" s="521"/>
      <c r="T30" s="519"/>
      <c r="U30" s="519"/>
      <c r="V30" s="517"/>
      <c r="W30" s="517"/>
    </row>
    <row r="31" spans="5:28" s="92" customFormat="1" x14ac:dyDescent="0.25">
      <c r="K31" s="172"/>
    </row>
    <row r="32" spans="5:2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sheet="1" selectLockedCells="1"/>
  <mergeCells count="7">
    <mergeCell ref="E3:E4"/>
    <mergeCell ref="P3:P4"/>
    <mergeCell ref="U3:W3"/>
    <mergeCell ref="R3:T3"/>
    <mergeCell ref="L3:L4"/>
    <mergeCell ref="M3:M4"/>
    <mergeCell ref="N3:N4"/>
  </mergeCells>
  <conditionalFormatting sqref="L12:P12">
    <cfRule type="cellIs" dxfId="20" priority="43" operator="lessThan">
      <formula>0</formula>
    </cfRule>
  </conditionalFormatting>
  <conditionalFormatting sqref="L13:P16">
    <cfRule type="cellIs" dxfId="19" priority="40" operator="lessThan">
      <formula>0</formula>
    </cfRule>
  </conditionalFormatting>
  <conditionalFormatting sqref="P14">
    <cfRule type="cellIs" dxfId="18" priority="33" operator="lessThan">
      <formula>0</formula>
    </cfRule>
  </conditionalFormatting>
  <conditionalFormatting sqref="P17">
    <cfRule type="cellIs" dxfId="17" priority="29" operator="greaterThan">
      <formula>0</formula>
    </cfRule>
  </conditionalFormatting>
  <conditionalFormatting sqref="P15:P16">
    <cfRule type="cellIs" dxfId="16" priority="26" operator="lessThan">
      <formula>0</formula>
    </cfRule>
  </conditionalFormatting>
  <conditionalFormatting sqref="P12:P13">
    <cfRule type="cellIs" dxfId="15" priority="25" operator="lessThan">
      <formula>0</formula>
    </cfRule>
  </conditionalFormatting>
  <conditionalFormatting sqref="L17:N17">
    <cfRule type="cellIs" dxfId="14" priority="24" operator="greaterThan">
      <formula>0</formula>
    </cfRule>
  </conditionalFormatting>
  <conditionalFormatting sqref="L18:P21">
    <cfRule type="cellIs" dxfId="13" priority="23" operator="greaterThan">
      <formula>0</formula>
    </cfRule>
  </conditionalFormatting>
  <conditionalFormatting sqref="P16">
    <cfRule type="cellIs" dxfId="12" priority="22" operator="lessThan">
      <formula>0</formula>
    </cfRule>
  </conditionalFormatting>
  <conditionalFormatting sqref="L21:N21">
    <cfRule type="cellIs" dxfId="11" priority="19" operator="lessThan">
      <formula>0</formula>
    </cfRule>
  </conditionalFormatting>
  <conditionalFormatting sqref="L27:N27">
    <cfRule type="cellIs" dxfId="10" priority="14" operator="greaterThan">
      <formula>0</formula>
    </cfRule>
  </conditionalFormatting>
  <conditionalFormatting sqref="P27">
    <cfRule type="cellIs" dxfId="9" priority="13" operator="greaterThan">
      <formula>0</formula>
    </cfRule>
  </conditionalFormatting>
  <conditionalFormatting sqref="P21">
    <cfRule type="expression" priority="159" stopIfTrue="1">
      <formula>$P$11=""</formula>
    </cfRule>
    <cfRule type="expression" dxfId="8" priority="160">
      <formula>P21&gt;P8</formula>
    </cfRule>
  </conditionalFormatting>
  <conditionalFormatting sqref="L28">
    <cfRule type="cellIs" dxfId="7" priority="9" operator="greaterThan">
      <formula>0</formula>
    </cfRule>
  </conditionalFormatting>
  <conditionalFormatting sqref="M28:N28">
    <cfRule type="cellIs" dxfId="6" priority="8" operator="greaterThan">
      <formula>0</formula>
    </cfRule>
  </conditionalFormatting>
  <conditionalFormatting sqref="P28">
    <cfRule type="cellIs" dxfId="5" priority="7" operator="greaterThan">
      <formula>0</formula>
    </cfRule>
  </conditionalFormatting>
  <conditionalFormatting sqref="L29">
    <cfRule type="cellIs" dxfId="4" priority="6" operator="greaterThan">
      <formula>0</formula>
    </cfRule>
  </conditionalFormatting>
  <conditionalFormatting sqref="M29:N29">
    <cfRule type="cellIs" dxfId="3" priority="5" operator="greaterThan">
      <formula>0</formula>
    </cfRule>
  </conditionalFormatting>
  <conditionalFormatting sqref="P29">
    <cfRule type="cellIs" dxfId="2" priority="4" operator="greaterThan">
      <formula>0</formula>
    </cfRule>
  </conditionalFormatting>
  <conditionalFormatting sqref="L17:P21">
    <cfRule type="cellIs" dxfId="1" priority="3" stopIfTrue="1" operator="equal">
      <formula>""</formula>
    </cfRule>
  </conditionalFormatting>
  <conditionalFormatting sqref="L27:P29">
    <cfRule type="cellIs" dxfId="0" priority="1" operator="equal">
      <formula>""</formula>
    </cfRule>
  </conditionalFormatting>
  <dataValidations count="2">
    <dataValidation allowBlank="1" showInputMessage="1" showErrorMessage="1" promptTitle="Informação" prompt="Se não for aplicável, escreva nesta célula N/A" sqref="T11:T22 T27:T29 W11:W22 W27:W29" xr:uid="{C3B0FC48-F52D-423A-ACF2-8C251FBC886A}"/>
    <dataValidation type="decimal" allowBlank="1" showInputMessage="1" showErrorMessage="1" errorTitle="Validação" error="Introduzir nº decimal" sqref="G21:J21" xr:uid="{9A3807D9-33FE-4033-BFD6-5EE696A24C72}">
      <formula1>-1E+22</formula1>
      <formula2>1E+22</formula2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ignoredErrors>
    <ignoredError sqref="L14:N15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953B2-41BF-4CEA-871D-D894B7A3B2C2}">
  <sheetPr>
    <tabColor theme="9" tint="0.79998168889431442"/>
    <pageSetUpPr fitToPage="1"/>
  </sheetPr>
  <dimension ref="A1:I19"/>
  <sheetViews>
    <sheetView showGridLines="0" workbookViewId="0">
      <pane ySplit="3" topLeftCell="A4" activePane="bottomLeft" state="frozen"/>
      <selection activeCell="G18" sqref="G18"/>
      <selection pane="bottomLeft" activeCell="C19" sqref="C19"/>
    </sheetView>
  </sheetViews>
  <sheetFormatPr defaultColWidth="0" defaultRowHeight="15" zeroHeight="1" x14ac:dyDescent="0.25"/>
  <cols>
    <col min="1" max="1" width="3.42578125" customWidth="1"/>
    <col min="2" max="2" width="25.42578125" customWidth="1"/>
    <col min="3" max="3" width="38" customWidth="1"/>
    <col min="4" max="8" width="19.7109375" customWidth="1"/>
    <col min="9" max="9" width="9.140625" customWidth="1"/>
    <col min="10" max="16384" width="9.140625" hidden="1"/>
  </cols>
  <sheetData>
    <row r="1" spans="1:9" ht="16.5" customHeight="1" x14ac:dyDescent="0.25">
      <c r="A1" s="83"/>
      <c r="B1" s="83"/>
      <c r="C1" s="92"/>
      <c r="D1" s="83"/>
      <c r="E1" s="83"/>
      <c r="F1" s="83"/>
      <c r="G1" s="64" t="s">
        <v>151</v>
      </c>
      <c r="H1" s="26" t="s">
        <v>118</v>
      </c>
      <c r="I1" s="83"/>
    </row>
    <row r="2" spans="1:9" ht="15" customHeight="1" x14ac:dyDescent="0.25">
      <c r="A2" s="83"/>
      <c r="B2" s="535" t="s">
        <v>119</v>
      </c>
      <c r="C2" s="535" t="s">
        <v>137</v>
      </c>
      <c r="D2" s="66">
        <f>IF(Instruções!C7="","",IF(ISERROR(Instruções!C7),"",Instruções!C7-1))</f>
        <v>2022</v>
      </c>
      <c r="E2" s="66">
        <f>IF(Instruções!C7="","",IF(ISERROR(Instruções!C7),"",Instruções!C7))</f>
        <v>2023</v>
      </c>
      <c r="F2" s="67">
        <f>IF(Instruções!C7="","",IF(ISERROR(Instruções!C7),"",Instruções!C7+1))</f>
        <v>2024</v>
      </c>
      <c r="G2" s="68">
        <f>IF(Instruções!C7="","",IF(ISERROR(Instruções!C7),"",Instruções!C7+2))</f>
        <v>2025</v>
      </c>
      <c r="H2" s="69">
        <f>IF(Instruções!C7="","",IF(ISERROR(Instruções!C7),"",Instruções!C7+3))</f>
        <v>2026</v>
      </c>
      <c r="I2" s="83"/>
    </row>
    <row r="3" spans="1:9" ht="15" customHeight="1" x14ac:dyDescent="0.25">
      <c r="A3" s="83"/>
      <c r="B3" s="535"/>
      <c r="C3" s="535"/>
      <c r="D3" s="70" t="str">
        <f>IF(D2="","","Execução")</f>
        <v>Execução</v>
      </c>
      <c r="E3" s="70" t="str">
        <f>IF(D2="","","Estimativa")</f>
        <v>Estimativa</v>
      </c>
      <c r="F3" s="71" t="str">
        <f>IF(E2="","","Previsão")</f>
        <v>Previsão</v>
      </c>
      <c r="G3" s="72" t="str">
        <f>IF(F2="","","Previsão")</f>
        <v>Previsão</v>
      </c>
      <c r="H3" s="73" t="str">
        <f>IF(G2="","","Previsão")</f>
        <v>Previsão</v>
      </c>
      <c r="I3" s="83"/>
    </row>
    <row r="4" spans="1:9" ht="6" customHeight="1" x14ac:dyDescent="0.25">
      <c r="A4" s="83"/>
      <c r="B4" s="83"/>
      <c r="C4" s="244"/>
      <c r="D4" s="83"/>
      <c r="E4" s="83"/>
      <c r="F4" s="83"/>
      <c r="G4" s="83"/>
      <c r="H4" s="83"/>
      <c r="I4" s="83"/>
    </row>
    <row r="5" spans="1:9" ht="31.5" customHeight="1" x14ac:dyDescent="0.25">
      <c r="A5" s="90"/>
      <c r="B5" s="42" t="s">
        <v>140</v>
      </c>
      <c r="C5" s="42" t="s">
        <v>138</v>
      </c>
      <c r="D5" s="705" t="str">
        <f>IFERROR(EBITDA_2022/'Eficiência operacional'!C18,"")</f>
        <v/>
      </c>
      <c r="E5" s="705" t="str">
        <f>IFERROR(EBITDA_2023/'Eficiência operacional'!E18,"")</f>
        <v/>
      </c>
      <c r="F5" s="705" t="str">
        <f>IFERROR(EBITDA_2024/'Eficiência operacional'!F18,"")</f>
        <v/>
      </c>
      <c r="G5" s="705" t="str">
        <f>IFERROR(EBITDA_2025/'Eficiência operacional'!G18,"")</f>
        <v/>
      </c>
      <c r="H5" s="705" t="str">
        <f>IFERROR(EBITDA_2026/'Eficiência operacional'!H18,"")</f>
        <v/>
      </c>
      <c r="I5" s="83"/>
    </row>
    <row r="6" spans="1:9" ht="31.5" customHeight="1" x14ac:dyDescent="0.25">
      <c r="A6" s="90"/>
      <c r="B6" s="42" t="s">
        <v>141</v>
      </c>
      <c r="C6" s="42" t="s">
        <v>383</v>
      </c>
      <c r="D6" s="705" t="str">
        <f>IFERROR(RO_2022/Ativo_2022,"")</f>
        <v/>
      </c>
      <c r="E6" s="705" t="str">
        <f>IFERROR(RO_2023/Ativo_2023,"")</f>
        <v/>
      </c>
      <c r="F6" s="705" t="str">
        <f>IFERROR(RO_2024/Ativo_2024,"")</f>
        <v/>
      </c>
      <c r="G6" s="705" t="str">
        <f>IFERROR(RO_2025/Ativo_2025,"")</f>
        <v/>
      </c>
      <c r="H6" s="705" t="str">
        <f>IFERROR(RO_2026/Ativo_2026,"")</f>
        <v/>
      </c>
      <c r="I6" s="83"/>
    </row>
    <row r="7" spans="1:9" ht="31.5" customHeight="1" x14ac:dyDescent="0.25">
      <c r="A7" s="90"/>
      <c r="B7" s="42" t="s">
        <v>141</v>
      </c>
      <c r="C7" s="42" t="s">
        <v>339</v>
      </c>
      <c r="D7" s="705"/>
      <c r="E7" s="705" t="str">
        <f>IFERROR(RO_2023/AVERAGE(Ativo_2023,Ativo_2022),"")</f>
        <v/>
      </c>
      <c r="F7" s="705" t="str">
        <f>IFERROR(RO_2024/AVERAGE(Ativo_2024,Ativo_2023),"")</f>
        <v/>
      </c>
      <c r="G7" s="705" t="str">
        <f>IFERROR(RO_2025/AVERAGE(Ativo_2025,Ativo_2024),"")</f>
        <v/>
      </c>
      <c r="H7" s="705" t="str">
        <f>IFERROR(RO_2026/AVERAGE(Ativo_2026,Ativo_2025),"")</f>
        <v/>
      </c>
      <c r="I7" s="83"/>
    </row>
    <row r="8" spans="1:9" ht="31.5" customHeight="1" x14ac:dyDescent="0.25">
      <c r="A8" s="90"/>
      <c r="B8" s="42" t="s">
        <v>142</v>
      </c>
      <c r="C8" s="42" t="s">
        <v>384</v>
      </c>
      <c r="D8" s="705" t="str">
        <f>IF(IFERROR(RL_2022/Patrimonio_Liquido_2022,"")&lt;=0,"n.a.",IFERROR(RL_2022/Patrimonio_Liquido_2022,""))</f>
        <v/>
      </c>
      <c r="E8" s="705" t="str">
        <f>IF(IFERROR(RL_2023/Patrimonio_Liquido_2023,"")&lt;=0,"n.a.",IFERROR(RL_2023/Patrimonio_Liquido_2023,""))</f>
        <v/>
      </c>
      <c r="F8" s="705" t="str">
        <f>IF(IFERROR(RL_2024/Patrimonio_Liquido_2024,"")&lt;=0,"n.a.",IFERROR(RL_2024/Patrimonio_Liquido_2024,""))</f>
        <v/>
      </c>
      <c r="G8" s="705" t="str">
        <f>IF(IFERROR(RL_2025/Patrimonio_Liquido_2025,"")&lt;=0,"n.a.",IFERROR(RL_2025/Patrimonio_Liquido_2025,""))</f>
        <v/>
      </c>
      <c r="H8" s="705" t="str">
        <f>IF(IFERROR(RL_2026/Patrimonio_Liquido_2026,"")&lt;=0,"n.a.",IFERROR(RL_2026/Patrimonio_Liquido_2026,""))</f>
        <v/>
      </c>
      <c r="I8" s="83"/>
    </row>
    <row r="9" spans="1:9" ht="31.5" customHeight="1" x14ac:dyDescent="0.25">
      <c r="A9" s="90"/>
      <c r="B9" s="42" t="s">
        <v>142</v>
      </c>
      <c r="C9" s="42" t="s">
        <v>338</v>
      </c>
      <c r="D9" s="705"/>
      <c r="E9" s="705" t="str">
        <f>IF(IFERROR(RL_2023/AVERAGE(Patrimonio_Liquido_2023,Patrimonio_Liquido_2022),"")&lt;=0,"n.a.",IFERROR(RL_2023/AVERAGE(Patrimonio_Liquido_2023,Patrimonio_Liquido_2022),""))</f>
        <v/>
      </c>
      <c r="F9" s="705" t="str">
        <f>IF(IFERROR(RL_2024/AVERAGE(Patrimonio_Liquido_2024,Patrimonio_Liquido_2023),"")&lt;=0,"",IFERROR(RL_2024/AVERAGE(Patrimonio_Liquido_2024,Patrimonio_Liquido_2023),""))</f>
        <v/>
      </c>
      <c r="G9" s="705" t="str">
        <f>IF(IFERROR(RL_2025/AVERAGE(Patrimonio_Liquido_2025,Patrimonio_Liquido_2024),"")&lt;=0,"",IFERROR(RL_2025/AVERAGE(Patrimonio_Liquido_2025,Patrimonio_Liquido_2024),""))</f>
        <v/>
      </c>
      <c r="H9" s="705" t="str">
        <f>IF(IFERROR(RL_2026/AVERAGE(Patrimonio_Liquido_2026,Patrimonio_Liquido_2025),"")&lt;=0,"",IFERROR(RL_2026/AVERAGE(Patrimonio_Liquido_2026,Patrimonio_Liquido_2025),""))</f>
        <v/>
      </c>
      <c r="I9" s="83"/>
    </row>
    <row r="10" spans="1:9" ht="31.5" customHeight="1" x14ac:dyDescent="0.25">
      <c r="A10" s="90"/>
      <c r="B10" s="42" t="s">
        <v>329</v>
      </c>
      <c r="C10" s="42" t="s">
        <v>139</v>
      </c>
      <c r="D10" s="705" t="str">
        <f>IFERROR(Passivo_2022/Ativo_2022,"")</f>
        <v/>
      </c>
      <c r="E10" s="705" t="str">
        <f>IFERROR(Passivo_2023/Ativo_2023,"")</f>
        <v/>
      </c>
      <c r="F10" s="705" t="str">
        <f>IFERROR(Passivo_2024/Ativo_2024,"")</f>
        <v/>
      </c>
      <c r="G10" s="705" t="str">
        <f>IFERROR(Passivo_2025/Ativo_2025,"")</f>
        <v/>
      </c>
      <c r="H10" s="705" t="str">
        <f>IFERROR(Passivo_2026/Ativo_2026,"")</f>
        <v/>
      </c>
      <c r="I10" s="83"/>
    </row>
    <row r="11" spans="1:9" ht="31.5" customHeight="1" x14ac:dyDescent="0.25">
      <c r="A11" s="90"/>
      <c r="B11" s="42" t="s">
        <v>143</v>
      </c>
      <c r="C11" s="42" t="s">
        <v>146</v>
      </c>
      <c r="D11" s="705" t="str">
        <f>IFERROR(Passivo_Corrente_2022/Ativo_2022,"")</f>
        <v/>
      </c>
      <c r="E11" s="705" t="str">
        <f>IFERROR(Passivo_Corrente_2023/Ativo_2023,"")</f>
        <v/>
      </c>
      <c r="F11" s="705" t="str">
        <f>IFERROR(Passivo_Corrente_2024/Ativo_2024,"")</f>
        <v/>
      </c>
      <c r="G11" s="705" t="str">
        <f>IFERROR(Passivo_Corrente_2025/Ativo_2025,"")</f>
        <v/>
      </c>
      <c r="H11" s="705" t="str">
        <f>IFERROR(Passivo_Corrente_2026/Ativo_2026,"")</f>
        <v/>
      </c>
      <c r="I11" s="83"/>
    </row>
    <row r="12" spans="1:9" ht="31.5" customHeight="1" x14ac:dyDescent="0.25">
      <c r="A12" s="90"/>
      <c r="B12" s="42" t="s">
        <v>144</v>
      </c>
      <c r="C12" s="42" t="s">
        <v>147</v>
      </c>
      <c r="D12" s="705" t="str">
        <f>IFERROR(Patrimonio_Liquido_2022/Ativo_2022,"")</f>
        <v/>
      </c>
      <c r="E12" s="705" t="str">
        <f>IFERROR(Patrimonio_Liquido_2023/Ativo_2023,"")</f>
        <v/>
      </c>
      <c r="F12" s="705" t="str">
        <f>IFERROR(Patrimonio_Liquido_2024/Ativo_2024,"")</f>
        <v/>
      </c>
      <c r="G12" s="705" t="str">
        <f>IFERROR(Patrimonio_Liquido_2025/Ativo_2025,"")</f>
        <v/>
      </c>
      <c r="H12" s="705" t="str">
        <f>IFERROR(Patrimonio_Liquido_2026/Ativo_2026,"")</f>
        <v/>
      </c>
      <c r="I12" s="83"/>
    </row>
    <row r="13" spans="1:9" ht="31.5" customHeight="1" x14ac:dyDescent="0.25">
      <c r="A13" s="90"/>
      <c r="B13" s="42" t="s">
        <v>145</v>
      </c>
      <c r="C13" s="42" t="s">
        <v>148</v>
      </c>
      <c r="D13" s="705" t="str">
        <f>IFERROR(Ativo_Corrente_2022/Passivo_Corrente_2022,"")</f>
        <v/>
      </c>
      <c r="E13" s="705" t="str">
        <f>IFERROR(Ativo_Corrente_2023/Passivo_Corrente_2023,"")</f>
        <v/>
      </c>
      <c r="F13" s="705" t="str">
        <f>IFERROR(Ativo_Corrente_2024/Passivo_Corrente_2024,"")</f>
        <v/>
      </c>
      <c r="G13" s="705" t="str">
        <f>IFERROR(Ativo_Corrente_2025/Passivo_Corrente_2025,"")</f>
        <v/>
      </c>
      <c r="H13" s="705" t="str">
        <f>IFERROR(Ativo_Corrente_2026/Passivo_Corrente_2026,"")</f>
        <v/>
      </c>
      <c r="I13" s="83"/>
    </row>
    <row r="14" spans="1:9" ht="31.5" customHeight="1" x14ac:dyDescent="0.25">
      <c r="A14" s="90"/>
      <c r="B14" s="42" t="s">
        <v>308</v>
      </c>
      <c r="C14" s="42" t="s">
        <v>311</v>
      </c>
      <c r="D14" s="706" t="str">
        <f>IFERROR(RO_2022/'Mapa RH'!C14,"")</f>
        <v/>
      </c>
      <c r="E14" s="706" t="str">
        <f>IFERROR(RO_2023/'Mapa RH'!D14,"")</f>
        <v/>
      </c>
      <c r="F14" s="706" t="str">
        <f>IFERROR(RO_2024/'Mapa RH'!N14,"")</f>
        <v/>
      </c>
      <c r="G14" s="706" t="str">
        <f>IFERROR(RO_2025/'Mapa RH'!T14,"")</f>
        <v/>
      </c>
      <c r="H14" s="706" t="str">
        <f>IFERROR(RO_2026/'Mapa RH'!Z14,"")</f>
        <v/>
      </c>
      <c r="I14" s="83"/>
    </row>
    <row r="15" spans="1:9" x14ac:dyDescent="0.25">
      <c r="A15" s="83"/>
      <c r="B15" s="91"/>
      <c r="C15" s="91"/>
      <c r="D15" s="91"/>
      <c r="E15" s="91"/>
      <c r="F15" s="91"/>
      <c r="G15" s="91"/>
      <c r="H15" s="91"/>
      <c r="I15" s="83"/>
    </row>
    <row r="16" spans="1:9" x14ac:dyDescent="0.25">
      <c r="A16" s="83"/>
      <c r="B16" s="91"/>
      <c r="C16" s="91"/>
      <c r="D16" s="91"/>
      <c r="E16" s="91"/>
      <c r="F16" s="91"/>
      <c r="G16" s="91"/>
      <c r="H16" s="91"/>
      <c r="I16" s="83"/>
    </row>
    <row r="17" spans="2:8" hidden="1" x14ac:dyDescent="0.25">
      <c r="B17" s="40"/>
      <c r="C17" s="40"/>
      <c r="D17" s="40"/>
      <c r="E17" s="40"/>
      <c r="F17" s="40"/>
      <c r="G17" s="40"/>
      <c r="H17" s="40"/>
    </row>
    <row r="18" spans="2:8" hidden="1" x14ac:dyDescent="0.25">
      <c r="B18" s="40"/>
      <c r="C18" s="40"/>
      <c r="D18" s="40"/>
      <c r="E18" s="40"/>
      <c r="F18" s="40"/>
      <c r="G18" s="40"/>
      <c r="H18" s="40"/>
    </row>
    <row r="19" spans="2:8" x14ac:dyDescent="0.25">
      <c r="C19" s="92"/>
    </row>
  </sheetData>
  <sheetProtection sheet="1" selectLockedCells="1"/>
  <mergeCells count="2">
    <mergeCell ref="C2:C3"/>
    <mergeCell ref="B2:B3"/>
  </mergeCells>
  <dataValidations count="1">
    <dataValidation type="custom" allowBlank="1" showInputMessage="1" showErrorMessage="1" errorTitle="Erro" error="Não introduzir dados nesta célula" sqref="G1:H1" xr:uid="{AAF3EBD4-44DE-4E3F-BF98-0BBB0D89C3D9}">
      <formula1>"&lt;&gt;"""""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FDCEC-7E26-4C62-8899-F9EB544928F4}">
  <sheetPr>
    <pageSetUpPr fitToPage="1"/>
  </sheetPr>
  <dimension ref="A1:WVR136"/>
  <sheetViews>
    <sheetView showGridLines="0" zoomScaleNormal="100" workbookViewId="0">
      <selection activeCell="B3" sqref="B3"/>
    </sheetView>
  </sheetViews>
  <sheetFormatPr defaultColWidth="0" defaultRowHeight="12.75" zeroHeight="1" x14ac:dyDescent="0.2"/>
  <cols>
    <col min="1" max="1" width="7.28515625" style="5" customWidth="1"/>
    <col min="2" max="2" width="34.7109375" style="5" customWidth="1"/>
    <col min="3" max="3" width="33" style="5" customWidth="1"/>
    <col min="4" max="8" width="13.5703125" style="5" customWidth="1"/>
    <col min="9" max="9" width="2.140625" style="5" customWidth="1"/>
    <col min="10" max="10" width="13.5703125" style="5" customWidth="1"/>
    <col min="11" max="254" width="12.28515625" style="5" hidden="1"/>
    <col min="255" max="255" width="2.28515625" style="5" hidden="1"/>
    <col min="256" max="256" width="40.140625" style="5" hidden="1"/>
    <col min="257" max="266" width="13.5703125" style="5" hidden="1"/>
    <col min="267" max="510" width="12.28515625" style="5" hidden="1"/>
    <col min="511" max="511" width="2.28515625" style="5" hidden="1"/>
    <col min="512" max="512" width="40.140625" style="5" hidden="1"/>
    <col min="513" max="522" width="13.5703125" style="5" hidden="1"/>
    <col min="523" max="766" width="12.28515625" style="5" hidden="1"/>
    <col min="767" max="767" width="2.28515625" style="5" hidden="1"/>
    <col min="768" max="768" width="40.140625" style="5" hidden="1"/>
    <col min="769" max="778" width="13.5703125" style="5" hidden="1"/>
    <col min="779" max="1022" width="12.28515625" style="5" hidden="1"/>
    <col min="1023" max="1023" width="2.28515625" style="5" hidden="1"/>
    <col min="1024" max="1024" width="40.140625" style="5" hidden="1"/>
    <col min="1025" max="1034" width="13.5703125" style="5" hidden="1"/>
    <col min="1035" max="1278" width="12.28515625" style="5" hidden="1"/>
    <col min="1279" max="1279" width="2.28515625" style="5" hidden="1"/>
    <col min="1280" max="1280" width="40.140625" style="5" hidden="1"/>
    <col min="1281" max="1290" width="13.5703125" style="5" hidden="1"/>
    <col min="1291" max="1534" width="12.28515625" style="5" hidden="1"/>
    <col min="1535" max="1535" width="2.28515625" style="5" hidden="1"/>
    <col min="1536" max="1536" width="40.140625" style="5" hidden="1"/>
    <col min="1537" max="1546" width="13.5703125" style="5" hidden="1"/>
    <col min="1547" max="1790" width="12.28515625" style="5" hidden="1"/>
    <col min="1791" max="1791" width="2.28515625" style="5" hidden="1"/>
    <col min="1792" max="1792" width="40.140625" style="5" hidden="1"/>
    <col min="1793" max="1802" width="13.5703125" style="5" hidden="1"/>
    <col min="1803" max="2046" width="12.28515625" style="5" hidden="1"/>
    <col min="2047" max="2047" width="2.28515625" style="5" hidden="1"/>
    <col min="2048" max="2048" width="40.140625" style="5" hidden="1"/>
    <col min="2049" max="2058" width="13.5703125" style="5" hidden="1"/>
    <col min="2059" max="2302" width="12.28515625" style="5" hidden="1"/>
    <col min="2303" max="2303" width="2.28515625" style="5" hidden="1"/>
    <col min="2304" max="2304" width="40.140625" style="5" hidden="1"/>
    <col min="2305" max="2314" width="13.5703125" style="5" hidden="1"/>
    <col min="2315" max="2558" width="12.28515625" style="5" hidden="1"/>
    <col min="2559" max="2559" width="2.28515625" style="5" hidden="1"/>
    <col min="2560" max="2560" width="40.140625" style="5" hidden="1"/>
    <col min="2561" max="2570" width="13.5703125" style="5" hidden="1"/>
    <col min="2571" max="2814" width="12.28515625" style="5" hidden="1"/>
    <col min="2815" max="2815" width="2.28515625" style="5" hidden="1"/>
    <col min="2816" max="2816" width="40.140625" style="5" hidden="1"/>
    <col min="2817" max="2826" width="13.5703125" style="5" hidden="1"/>
    <col min="2827" max="3070" width="12.28515625" style="5" hidden="1"/>
    <col min="3071" max="3071" width="2.28515625" style="5" hidden="1"/>
    <col min="3072" max="3072" width="40.140625" style="5" hidden="1"/>
    <col min="3073" max="3082" width="13.5703125" style="5" hidden="1"/>
    <col min="3083" max="3326" width="12.28515625" style="5" hidden="1"/>
    <col min="3327" max="3327" width="2.28515625" style="5" hidden="1"/>
    <col min="3328" max="3328" width="40.140625" style="5" hidden="1"/>
    <col min="3329" max="3338" width="13.5703125" style="5" hidden="1"/>
    <col min="3339" max="3582" width="12.28515625" style="5" hidden="1"/>
    <col min="3583" max="3583" width="2.28515625" style="5" hidden="1"/>
    <col min="3584" max="3584" width="40.140625" style="5" hidden="1"/>
    <col min="3585" max="3594" width="13.5703125" style="5" hidden="1"/>
    <col min="3595" max="3838" width="12.28515625" style="5" hidden="1"/>
    <col min="3839" max="3839" width="2.28515625" style="5" hidden="1"/>
    <col min="3840" max="3840" width="40.140625" style="5" hidden="1"/>
    <col min="3841" max="3850" width="13.5703125" style="5" hidden="1"/>
    <col min="3851" max="4094" width="12.28515625" style="5" hidden="1"/>
    <col min="4095" max="4095" width="2.28515625" style="5" hidden="1"/>
    <col min="4096" max="4096" width="40.140625" style="5" hidden="1"/>
    <col min="4097" max="4106" width="13.5703125" style="5" hidden="1"/>
    <col min="4107" max="4350" width="12.28515625" style="5" hidden="1"/>
    <col min="4351" max="4351" width="2.28515625" style="5" hidden="1"/>
    <col min="4352" max="4352" width="40.140625" style="5" hidden="1"/>
    <col min="4353" max="4362" width="13.5703125" style="5" hidden="1"/>
    <col min="4363" max="4606" width="12.28515625" style="5" hidden="1"/>
    <col min="4607" max="4607" width="2.28515625" style="5" hidden="1"/>
    <col min="4608" max="4608" width="40.140625" style="5" hidden="1"/>
    <col min="4609" max="4618" width="13.5703125" style="5" hidden="1"/>
    <col min="4619" max="4862" width="12.28515625" style="5" hidden="1"/>
    <col min="4863" max="4863" width="2.28515625" style="5" hidden="1"/>
    <col min="4864" max="4864" width="40.140625" style="5" hidden="1"/>
    <col min="4865" max="4874" width="13.5703125" style="5" hidden="1"/>
    <col min="4875" max="5118" width="12.28515625" style="5" hidden="1"/>
    <col min="5119" max="5119" width="2.28515625" style="5" hidden="1"/>
    <col min="5120" max="5120" width="40.140625" style="5" hidden="1"/>
    <col min="5121" max="5130" width="13.5703125" style="5" hidden="1"/>
    <col min="5131" max="5374" width="12.28515625" style="5" hidden="1"/>
    <col min="5375" max="5375" width="2.28515625" style="5" hidden="1"/>
    <col min="5376" max="5376" width="40.140625" style="5" hidden="1"/>
    <col min="5377" max="5386" width="13.5703125" style="5" hidden="1"/>
    <col min="5387" max="5630" width="12.28515625" style="5" hidden="1"/>
    <col min="5631" max="5631" width="2.28515625" style="5" hidden="1"/>
    <col min="5632" max="5632" width="40.140625" style="5" hidden="1"/>
    <col min="5633" max="5642" width="13.5703125" style="5" hidden="1"/>
    <col min="5643" max="5886" width="12.28515625" style="5" hidden="1"/>
    <col min="5887" max="5887" width="2.28515625" style="5" hidden="1"/>
    <col min="5888" max="5888" width="40.140625" style="5" hidden="1"/>
    <col min="5889" max="5898" width="13.5703125" style="5" hidden="1"/>
    <col min="5899" max="6142" width="12.28515625" style="5" hidden="1"/>
    <col min="6143" max="6143" width="2.28515625" style="5" hidden="1"/>
    <col min="6144" max="6144" width="40.140625" style="5" hidden="1"/>
    <col min="6145" max="6154" width="13.5703125" style="5" hidden="1"/>
    <col min="6155" max="6398" width="12.28515625" style="5" hidden="1"/>
    <col min="6399" max="6399" width="2.28515625" style="5" hidden="1"/>
    <col min="6400" max="6400" width="40.140625" style="5" hidden="1"/>
    <col min="6401" max="6410" width="13.5703125" style="5" hidden="1"/>
    <col min="6411" max="6654" width="12.28515625" style="5" hidden="1"/>
    <col min="6655" max="6655" width="2.28515625" style="5" hidden="1"/>
    <col min="6656" max="6656" width="40.140625" style="5" hidden="1"/>
    <col min="6657" max="6666" width="13.5703125" style="5" hidden="1"/>
    <col min="6667" max="6910" width="12.28515625" style="5" hidden="1"/>
    <col min="6911" max="6911" width="2.28515625" style="5" hidden="1"/>
    <col min="6912" max="6912" width="40.140625" style="5" hidden="1"/>
    <col min="6913" max="6922" width="13.5703125" style="5" hidden="1"/>
    <col min="6923" max="7166" width="12.28515625" style="5" hidden="1"/>
    <col min="7167" max="7167" width="2.28515625" style="5" hidden="1"/>
    <col min="7168" max="7168" width="40.140625" style="5" hidden="1"/>
    <col min="7169" max="7178" width="13.5703125" style="5" hidden="1"/>
    <col min="7179" max="7422" width="12.28515625" style="5" hidden="1"/>
    <col min="7423" max="7423" width="2.28515625" style="5" hidden="1"/>
    <col min="7424" max="7424" width="40.140625" style="5" hidden="1"/>
    <col min="7425" max="7434" width="13.5703125" style="5" hidden="1"/>
    <col min="7435" max="7678" width="12.28515625" style="5" hidden="1"/>
    <col min="7679" max="7679" width="2.28515625" style="5" hidden="1"/>
    <col min="7680" max="7680" width="40.140625" style="5" hidden="1"/>
    <col min="7681" max="7690" width="13.5703125" style="5" hidden="1"/>
    <col min="7691" max="7934" width="12.28515625" style="5" hidden="1"/>
    <col min="7935" max="7935" width="2.28515625" style="5" hidden="1"/>
    <col min="7936" max="7936" width="40.140625" style="5" hidden="1"/>
    <col min="7937" max="7946" width="13.5703125" style="5" hidden="1"/>
    <col min="7947" max="8190" width="12.28515625" style="5" hidden="1"/>
    <col min="8191" max="8191" width="2.28515625" style="5" hidden="1"/>
    <col min="8192" max="8192" width="40.140625" style="5" hidden="1"/>
    <col min="8193" max="8202" width="13.5703125" style="5" hidden="1"/>
    <col min="8203" max="8446" width="12.28515625" style="5" hidden="1"/>
    <col min="8447" max="8447" width="2.28515625" style="5" hidden="1"/>
    <col min="8448" max="8448" width="40.140625" style="5" hidden="1"/>
    <col min="8449" max="8458" width="13.5703125" style="5" hidden="1"/>
    <col min="8459" max="8702" width="12.28515625" style="5" hidden="1"/>
    <col min="8703" max="8703" width="2.28515625" style="5" hidden="1"/>
    <col min="8704" max="8704" width="40.140625" style="5" hidden="1"/>
    <col min="8705" max="8714" width="13.5703125" style="5" hidden="1"/>
    <col min="8715" max="8958" width="12.28515625" style="5" hidden="1"/>
    <col min="8959" max="8959" width="2.28515625" style="5" hidden="1"/>
    <col min="8960" max="8960" width="40.140625" style="5" hidden="1"/>
    <col min="8961" max="8970" width="13.5703125" style="5" hidden="1"/>
    <col min="8971" max="9214" width="12.28515625" style="5" hidden="1"/>
    <col min="9215" max="9215" width="2.28515625" style="5" hidden="1"/>
    <col min="9216" max="9216" width="40.140625" style="5" hidden="1"/>
    <col min="9217" max="9226" width="13.5703125" style="5" hidden="1"/>
    <col min="9227" max="9470" width="12.28515625" style="5" hidden="1"/>
    <col min="9471" max="9471" width="2.28515625" style="5" hidden="1"/>
    <col min="9472" max="9472" width="40.140625" style="5" hidden="1"/>
    <col min="9473" max="9482" width="13.5703125" style="5" hidden="1"/>
    <col min="9483" max="9726" width="12.28515625" style="5" hidden="1"/>
    <col min="9727" max="9727" width="2.28515625" style="5" hidden="1"/>
    <col min="9728" max="9728" width="40.140625" style="5" hidden="1"/>
    <col min="9729" max="9738" width="13.5703125" style="5" hidden="1"/>
    <col min="9739" max="9982" width="12.28515625" style="5" hidden="1"/>
    <col min="9983" max="9983" width="2.28515625" style="5" hidden="1"/>
    <col min="9984" max="9984" width="40.140625" style="5" hidden="1"/>
    <col min="9985" max="9994" width="13.5703125" style="5" hidden="1"/>
    <col min="9995" max="10238" width="12.28515625" style="5" hidden="1"/>
    <col min="10239" max="10239" width="2.28515625" style="5" hidden="1"/>
    <col min="10240" max="10240" width="40.140625" style="5" hidden="1"/>
    <col min="10241" max="10250" width="13.5703125" style="5" hidden="1"/>
    <col min="10251" max="10494" width="12.28515625" style="5" hidden="1"/>
    <col min="10495" max="10495" width="2.28515625" style="5" hidden="1"/>
    <col min="10496" max="10496" width="40.140625" style="5" hidden="1"/>
    <col min="10497" max="10506" width="13.5703125" style="5" hidden="1"/>
    <col min="10507" max="10750" width="12.28515625" style="5" hidden="1"/>
    <col min="10751" max="10751" width="2.28515625" style="5" hidden="1"/>
    <col min="10752" max="10752" width="40.140625" style="5" hidden="1"/>
    <col min="10753" max="10762" width="13.5703125" style="5" hidden="1"/>
    <col min="10763" max="11006" width="12.28515625" style="5" hidden="1"/>
    <col min="11007" max="11007" width="2.28515625" style="5" hidden="1"/>
    <col min="11008" max="11008" width="40.140625" style="5" hidden="1"/>
    <col min="11009" max="11018" width="13.5703125" style="5" hidden="1"/>
    <col min="11019" max="11262" width="12.28515625" style="5" hidden="1"/>
    <col min="11263" max="11263" width="2.28515625" style="5" hidden="1"/>
    <col min="11264" max="11264" width="40.140625" style="5" hidden="1"/>
    <col min="11265" max="11274" width="13.5703125" style="5" hidden="1"/>
    <col min="11275" max="11518" width="12.28515625" style="5" hidden="1"/>
    <col min="11519" max="11519" width="2.28515625" style="5" hidden="1"/>
    <col min="11520" max="11520" width="40.140625" style="5" hidden="1"/>
    <col min="11521" max="11530" width="13.5703125" style="5" hidden="1"/>
    <col min="11531" max="11774" width="12.28515625" style="5" hidden="1"/>
    <col min="11775" max="11775" width="2.28515625" style="5" hidden="1"/>
    <col min="11776" max="11776" width="40.140625" style="5" hidden="1"/>
    <col min="11777" max="11786" width="13.5703125" style="5" hidden="1"/>
    <col min="11787" max="12030" width="12.28515625" style="5" hidden="1"/>
    <col min="12031" max="12031" width="2.28515625" style="5" hidden="1"/>
    <col min="12032" max="12032" width="40.140625" style="5" hidden="1"/>
    <col min="12033" max="12042" width="13.5703125" style="5" hidden="1"/>
    <col min="12043" max="12286" width="12.28515625" style="5" hidden="1"/>
    <col min="12287" max="12287" width="2.28515625" style="5" hidden="1"/>
    <col min="12288" max="12288" width="40.140625" style="5" hidden="1"/>
    <col min="12289" max="12298" width="13.5703125" style="5" hidden="1"/>
    <col min="12299" max="12542" width="12.28515625" style="5" hidden="1"/>
    <col min="12543" max="12543" width="2.28515625" style="5" hidden="1"/>
    <col min="12544" max="12544" width="40.140625" style="5" hidden="1"/>
    <col min="12545" max="12554" width="13.5703125" style="5" hidden="1"/>
    <col min="12555" max="12798" width="12.28515625" style="5" hidden="1"/>
    <col min="12799" max="12799" width="2.28515625" style="5" hidden="1"/>
    <col min="12800" max="12800" width="40.140625" style="5" hidden="1"/>
    <col min="12801" max="12810" width="13.5703125" style="5" hidden="1"/>
    <col min="12811" max="13054" width="12.28515625" style="5" hidden="1"/>
    <col min="13055" max="13055" width="2.28515625" style="5" hidden="1"/>
    <col min="13056" max="13056" width="40.140625" style="5" hidden="1"/>
    <col min="13057" max="13066" width="13.5703125" style="5" hidden="1"/>
    <col min="13067" max="13310" width="12.28515625" style="5" hidden="1"/>
    <col min="13311" max="13311" width="2.28515625" style="5" hidden="1"/>
    <col min="13312" max="13312" width="40.140625" style="5" hidden="1"/>
    <col min="13313" max="13322" width="13.5703125" style="5" hidden="1"/>
    <col min="13323" max="13566" width="12.28515625" style="5" hidden="1"/>
    <col min="13567" max="13567" width="2.28515625" style="5" hidden="1"/>
    <col min="13568" max="13568" width="40.140625" style="5" hidden="1"/>
    <col min="13569" max="13578" width="13.5703125" style="5" hidden="1"/>
    <col min="13579" max="13822" width="12.28515625" style="5" hidden="1"/>
    <col min="13823" max="13823" width="2.28515625" style="5" hidden="1"/>
    <col min="13824" max="13824" width="40.140625" style="5" hidden="1"/>
    <col min="13825" max="13834" width="13.5703125" style="5" hidden="1"/>
    <col min="13835" max="14078" width="12.28515625" style="5" hidden="1"/>
    <col min="14079" max="14079" width="2.28515625" style="5" hidden="1"/>
    <col min="14080" max="14080" width="40.140625" style="5" hidden="1"/>
    <col min="14081" max="14090" width="13.5703125" style="5" hidden="1"/>
    <col min="14091" max="14334" width="12.28515625" style="5" hidden="1"/>
    <col min="14335" max="14335" width="2.28515625" style="5" hidden="1"/>
    <col min="14336" max="14336" width="40.140625" style="5" hidden="1"/>
    <col min="14337" max="14346" width="13.5703125" style="5" hidden="1"/>
    <col min="14347" max="14590" width="12.28515625" style="5" hidden="1"/>
    <col min="14591" max="14591" width="2.28515625" style="5" hidden="1"/>
    <col min="14592" max="14592" width="40.140625" style="5" hidden="1"/>
    <col min="14593" max="14602" width="13.5703125" style="5" hidden="1"/>
    <col min="14603" max="14846" width="12.28515625" style="5" hidden="1"/>
    <col min="14847" max="14847" width="2.28515625" style="5" hidden="1"/>
    <col min="14848" max="14848" width="40.140625" style="5" hidden="1"/>
    <col min="14849" max="14858" width="13.5703125" style="5" hidden="1"/>
    <col min="14859" max="15102" width="12.28515625" style="5" hidden="1"/>
    <col min="15103" max="15103" width="2.28515625" style="5" hidden="1"/>
    <col min="15104" max="15104" width="40.140625" style="5" hidden="1"/>
    <col min="15105" max="15114" width="13.5703125" style="5" hidden="1"/>
    <col min="15115" max="15358" width="12.28515625" style="5" hidden="1"/>
    <col min="15359" max="15359" width="2.28515625" style="5" hidden="1"/>
    <col min="15360" max="15360" width="40.140625" style="5" hidden="1"/>
    <col min="15361" max="15370" width="13.5703125" style="5" hidden="1"/>
    <col min="15371" max="15614" width="12.28515625" style="5" hidden="1"/>
    <col min="15615" max="15615" width="2.28515625" style="5" hidden="1"/>
    <col min="15616" max="15616" width="40.140625" style="5" hidden="1"/>
    <col min="15617" max="15626" width="13.5703125" style="5" hidden="1"/>
    <col min="15627" max="15870" width="12.28515625" style="5" hidden="1"/>
    <col min="15871" max="15871" width="2.28515625" style="5" hidden="1"/>
    <col min="15872" max="15872" width="40.140625" style="5" hidden="1"/>
    <col min="15873" max="15882" width="13.5703125" style="5" hidden="1"/>
    <col min="15883" max="16126" width="12.28515625" style="5" hidden="1"/>
    <col min="16127" max="16127" width="2.28515625" style="5" hidden="1"/>
    <col min="16128" max="16128" width="40.140625" style="5" hidden="1"/>
    <col min="16129" max="16138" width="13.5703125" style="5" hidden="1"/>
    <col min="16139" max="16384" width="12.28515625" style="5" hidden="1"/>
  </cols>
  <sheetData>
    <row r="1" spans="1:10" s="6" customFormat="1" ht="24" customHeight="1" x14ac:dyDescent="0.15">
      <c r="A1" s="224"/>
      <c r="B1" s="225"/>
      <c r="C1" s="225"/>
      <c r="D1" s="225"/>
      <c r="E1" s="225"/>
      <c r="F1" s="225"/>
      <c r="G1" s="225"/>
      <c r="H1" s="225"/>
      <c r="I1" s="225"/>
      <c r="J1" s="225"/>
    </row>
    <row r="2" spans="1:10" s="6" customFormat="1" ht="22.5" customHeight="1" x14ac:dyDescent="0.15">
      <c r="B2" s="523" t="s">
        <v>385</v>
      </c>
      <c r="C2" s="524"/>
      <c r="D2" s="524"/>
      <c r="E2" s="524"/>
      <c r="F2" s="524"/>
      <c r="G2" s="524"/>
      <c r="H2" s="524"/>
      <c r="I2" s="525"/>
      <c r="J2" s="7"/>
    </row>
    <row r="3" spans="1:10" s="6" customFormat="1" ht="3.75" customHeight="1" x14ac:dyDescent="0.15">
      <c r="B3" s="202"/>
      <c r="C3" s="43"/>
      <c r="D3" s="43"/>
      <c r="E3" s="43"/>
      <c r="F3" s="43"/>
      <c r="G3" s="43"/>
      <c r="H3" s="43"/>
      <c r="I3" s="203"/>
      <c r="J3" s="7"/>
    </row>
    <row r="4" spans="1:10" s="6" customFormat="1" ht="30" customHeight="1" x14ac:dyDescent="0.15">
      <c r="B4" s="511" t="s">
        <v>364</v>
      </c>
      <c r="C4" s="529"/>
      <c r="D4" s="529"/>
      <c r="E4" s="529"/>
      <c r="F4" s="529"/>
      <c r="G4" s="529"/>
      <c r="H4" s="529"/>
      <c r="I4" s="205"/>
      <c r="J4" s="8"/>
    </row>
    <row r="5" spans="1:10" s="6" customFormat="1" ht="12" customHeight="1" x14ac:dyDescent="0.15">
      <c r="B5" s="206"/>
      <c r="C5" s="186"/>
      <c r="D5" s="186"/>
      <c r="E5" s="186"/>
      <c r="F5" s="207"/>
      <c r="G5" s="207"/>
      <c r="H5" s="207"/>
      <c r="I5" s="205"/>
      <c r="J5" s="8"/>
    </row>
    <row r="6" spans="1:10" s="6" customFormat="1" ht="3" customHeight="1" x14ac:dyDescent="0.15">
      <c r="B6" s="206"/>
      <c r="C6" s="207"/>
      <c r="D6" s="207"/>
      <c r="E6" s="207"/>
      <c r="F6" s="207"/>
      <c r="G6" s="207"/>
      <c r="H6" s="207"/>
      <c r="I6" s="205"/>
      <c r="J6" s="8"/>
    </row>
    <row r="7" spans="1:10" s="6" customFormat="1" ht="12" customHeight="1" x14ac:dyDescent="0.15">
      <c r="B7" s="206" t="s">
        <v>149</v>
      </c>
      <c r="C7" s="590">
        <v>2023</v>
      </c>
      <c r="D7" s="207"/>
      <c r="E7" s="207"/>
      <c r="F7" s="207"/>
      <c r="G7" s="207"/>
      <c r="H7" s="207"/>
      <c r="I7" s="205"/>
      <c r="J7" s="8"/>
    </row>
    <row r="8" spans="1:10" s="6" customFormat="1" ht="3" customHeight="1" x14ac:dyDescent="0.15">
      <c r="B8" s="206"/>
      <c r="C8" s="209"/>
      <c r="D8" s="207"/>
      <c r="E8" s="207"/>
      <c r="F8" s="207"/>
      <c r="G8" s="207"/>
      <c r="H8" s="207"/>
      <c r="I8" s="205"/>
      <c r="J8" s="8"/>
    </row>
    <row r="9" spans="1:10" s="6" customFormat="1" ht="12" customHeight="1" x14ac:dyDescent="0.15">
      <c r="B9" s="206" t="s">
        <v>25</v>
      </c>
      <c r="C9" s="208" t="str">
        <f>IF(C7="","",C7+1&amp;"-"&amp;C7+3)</f>
        <v>2024-2026</v>
      </c>
      <c r="D9" s="207"/>
      <c r="E9" s="207"/>
      <c r="F9" s="207"/>
      <c r="G9" s="207"/>
      <c r="H9" s="207"/>
      <c r="I9" s="205"/>
      <c r="J9" s="8"/>
    </row>
    <row r="10" spans="1:10" s="6" customFormat="1" ht="11.25" customHeight="1" x14ac:dyDescent="0.15">
      <c r="B10" s="206"/>
      <c r="C10" s="207"/>
      <c r="D10" s="207"/>
      <c r="E10" s="207"/>
      <c r="F10" s="207"/>
      <c r="G10" s="207"/>
      <c r="H10" s="207"/>
      <c r="I10" s="205"/>
      <c r="J10" s="8"/>
    </row>
    <row r="11" spans="1:10" s="6" customFormat="1" ht="30" customHeight="1" x14ac:dyDescent="0.15">
      <c r="B11" s="204" t="s">
        <v>181</v>
      </c>
      <c r="C11" s="186"/>
      <c r="D11" s="207"/>
      <c r="E11" s="207"/>
      <c r="F11" s="207"/>
      <c r="G11" s="207"/>
      <c r="H11" s="207"/>
      <c r="I11" s="210"/>
      <c r="J11" s="8"/>
    </row>
    <row r="12" spans="1:10" s="6" customFormat="1" ht="18" customHeight="1" x14ac:dyDescent="0.15">
      <c r="B12" s="211"/>
      <c r="C12" s="187" t="s">
        <v>118</v>
      </c>
      <c r="D12" s="197">
        <v>2022</v>
      </c>
      <c r="E12" s="198">
        <v>2023</v>
      </c>
      <c r="F12" s="198">
        <v>2024</v>
      </c>
      <c r="G12" s="198">
        <v>2025</v>
      </c>
      <c r="H12" s="199">
        <v>2026</v>
      </c>
      <c r="I12" s="210"/>
      <c r="J12" s="8"/>
    </row>
    <row r="13" spans="1:10" s="6" customFormat="1" ht="18.75" customHeight="1" x14ac:dyDescent="0.15">
      <c r="B13" s="211"/>
      <c r="C13" s="188" t="s">
        <v>228</v>
      </c>
      <c r="D13" s="417">
        <v>11.4</v>
      </c>
      <c r="E13" s="417">
        <v>7.5</v>
      </c>
      <c r="F13" s="417">
        <v>5.0999999999999996</v>
      </c>
      <c r="G13" s="417">
        <v>4.5</v>
      </c>
      <c r="H13" s="418">
        <v>4.2</v>
      </c>
      <c r="I13" s="210"/>
      <c r="J13" s="8"/>
    </row>
    <row r="14" spans="1:10" s="6" customFormat="1" ht="30" customHeight="1" x14ac:dyDescent="0.15">
      <c r="B14" s="211"/>
      <c r="C14" s="188" t="s">
        <v>190</v>
      </c>
      <c r="D14" s="200"/>
      <c r="E14" s="200"/>
      <c r="F14" s="200"/>
      <c r="G14" s="200"/>
      <c r="H14" s="201"/>
      <c r="I14" s="210"/>
      <c r="J14" s="8"/>
    </row>
    <row r="15" spans="1:10" s="6" customFormat="1" ht="11.25" customHeight="1" x14ac:dyDescent="0.15">
      <c r="B15" s="211"/>
      <c r="C15" s="189" t="s">
        <v>183</v>
      </c>
      <c r="D15" s="246">
        <v>6.7</v>
      </c>
      <c r="E15" s="246">
        <v>1.8</v>
      </c>
      <c r="F15" s="246">
        <v>2</v>
      </c>
      <c r="G15" s="246">
        <v>2</v>
      </c>
      <c r="H15" s="247">
        <v>1.9</v>
      </c>
      <c r="I15" s="210"/>
      <c r="J15" s="8"/>
    </row>
    <row r="16" spans="1:10" s="6" customFormat="1" ht="11.25" x14ac:dyDescent="0.15">
      <c r="B16" s="211"/>
      <c r="C16" s="190" t="s">
        <v>184</v>
      </c>
      <c r="D16" s="246">
        <v>5.8</v>
      </c>
      <c r="E16" s="246">
        <v>0.6</v>
      </c>
      <c r="F16" s="246">
        <v>1.3</v>
      </c>
      <c r="G16" s="246">
        <v>1.4</v>
      </c>
      <c r="H16" s="247">
        <v>1.5</v>
      </c>
      <c r="I16" s="210"/>
      <c r="J16" s="8"/>
    </row>
    <row r="17" spans="2:10" s="6" customFormat="1" ht="11.25" x14ac:dyDescent="0.15">
      <c r="B17" s="211"/>
      <c r="C17" s="190" t="s">
        <v>185</v>
      </c>
      <c r="D17" s="246">
        <v>1.7</v>
      </c>
      <c r="E17" s="246">
        <v>2.6</v>
      </c>
      <c r="F17" s="246">
        <v>1.2</v>
      </c>
      <c r="G17" s="246">
        <v>1</v>
      </c>
      <c r="H17" s="247">
        <v>1</v>
      </c>
      <c r="I17" s="210"/>
      <c r="J17" s="8"/>
    </row>
    <row r="18" spans="2:10" s="6" customFormat="1" ht="11.25" x14ac:dyDescent="0.15">
      <c r="B18" s="211"/>
      <c r="C18" s="190" t="s">
        <v>186</v>
      </c>
      <c r="D18" s="246">
        <v>3</v>
      </c>
      <c r="E18" s="246">
        <v>3.4</v>
      </c>
      <c r="F18" s="246">
        <v>5.3</v>
      </c>
      <c r="G18" s="246">
        <v>4</v>
      </c>
      <c r="H18" s="247">
        <v>3.1</v>
      </c>
      <c r="I18" s="210"/>
      <c r="J18" s="8"/>
    </row>
    <row r="19" spans="2:10" s="6" customFormat="1" ht="11.25" x14ac:dyDescent="0.15">
      <c r="B19" s="211"/>
      <c r="C19" s="190" t="s">
        <v>187</v>
      </c>
      <c r="D19" s="246">
        <v>16.7</v>
      </c>
      <c r="E19" s="246">
        <v>4.3</v>
      </c>
      <c r="F19" s="246">
        <v>4</v>
      </c>
      <c r="G19" s="246">
        <v>4.3</v>
      </c>
      <c r="H19" s="247">
        <v>4.0999999999999996</v>
      </c>
      <c r="I19" s="210"/>
      <c r="J19" s="8"/>
    </row>
    <row r="20" spans="2:10" s="6" customFormat="1" ht="11.25" x14ac:dyDescent="0.15">
      <c r="B20" s="211"/>
      <c r="C20" s="190" t="s">
        <v>188</v>
      </c>
      <c r="D20" s="246">
        <v>11.1</v>
      </c>
      <c r="E20" s="246">
        <v>3.7</v>
      </c>
      <c r="F20" s="246">
        <v>4.0999999999999996</v>
      </c>
      <c r="G20" s="246">
        <v>4.0999999999999996</v>
      </c>
      <c r="H20" s="247">
        <v>3.8</v>
      </c>
      <c r="I20" s="210"/>
      <c r="J20" s="8"/>
    </row>
    <row r="21" spans="2:10" s="6" customFormat="1" ht="10.5" x14ac:dyDescent="0.15">
      <c r="B21" s="211"/>
      <c r="C21" s="189" t="s">
        <v>182</v>
      </c>
      <c r="D21" s="246"/>
      <c r="E21" s="246"/>
      <c r="F21" s="246"/>
      <c r="G21" s="246"/>
      <c r="H21" s="247"/>
      <c r="I21" s="210"/>
      <c r="J21" s="8"/>
    </row>
    <row r="22" spans="2:10" s="6" customFormat="1" ht="11.25" x14ac:dyDescent="0.15">
      <c r="B22" s="211"/>
      <c r="C22" s="191" t="s">
        <v>189</v>
      </c>
      <c r="D22" s="248">
        <v>8.1</v>
      </c>
      <c r="E22" s="248">
        <v>5.0999999999999996</v>
      </c>
      <c r="F22" s="248">
        <v>2.9</v>
      </c>
      <c r="G22" s="248">
        <v>2.1</v>
      </c>
      <c r="H22" s="249">
        <v>2</v>
      </c>
      <c r="I22" s="210"/>
      <c r="J22" s="8"/>
    </row>
    <row r="23" spans="2:10" s="6" customFormat="1" ht="10.5" x14ac:dyDescent="0.15">
      <c r="B23" s="211"/>
      <c r="C23" s="186"/>
      <c r="D23" s="186"/>
      <c r="E23" s="186"/>
      <c r="F23" s="186"/>
      <c r="G23" s="186"/>
      <c r="H23" s="186"/>
      <c r="I23" s="210"/>
      <c r="J23" s="8"/>
    </row>
    <row r="24" spans="2:10" s="6" customFormat="1" ht="10.5" x14ac:dyDescent="0.15">
      <c r="B24" s="211"/>
      <c r="C24" s="212" t="s">
        <v>191</v>
      </c>
      <c r="D24" s="186"/>
      <c r="E24" s="186"/>
      <c r="F24" s="186"/>
      <c r="G24" s="186"/>
      <c r="H24" s="186"/>
      <c r="I24" s="210"/>
      <c r="J24" s="8"/>
    </row>
    <row r="25" spans="2:10" s="6" customFormat="1" ht="10.5" x14ac:dyDescent="0.15">
      <c r="B25" s="211"/>
      <c r="C25" s="213" t="s">
        <v>192</v>
      </c>
      <c r="D25" s="186"/>
      <c r="E25" s="186"/>
      <c r="F25" s="214"/>
      <c r="G25" s="214"/>
      <c r="H25" s="186"/>
      <c r="I25" s="210"/>
      <c r="J25" s="8"/>
    </row>
    <row r="26" spans="2:10" s="6" customFormat="1" ht="10.5" x14ac:dyDescent="0.15">
      <c r="B26" s="211"/>
      <c r="C26" s="213" t="s">
        <v>193</v>
      </c>
      <c r="D26" s="186"/>
      <c r="E26" s="186"/>
      <c r="F26" s="186"/>
      <c r="G26" s="186"/>
      <c r="H26" s="186"/>
      <c r="I26" s="210"/>
      <c r="J26" s="8"/>
    </row>
    <row r="27" spans="2:10" s="6" customFormat="1" ht="10.5" x14ac:dyDescent="0.15">
      <c r="B27" s="211"/>
      <c r="C27" s="213" t="s">
        <v>194</v>
      </c>
      <c r="D27" s="186"/>
      <c r="E27" s="186"/>
      <c r="F27" s="186"/>
      <c r="G27" s="186"/>
      <c r="H27" s="186"/>
      <c r="I27" s="210"/>
      <c r="J27" s="8"/>
    </row>
    <row r="28" spans="2:10" s="6" customFormat="1" ht="14.25" customHeight="1" x14ac:dyDescent="0.15">
      <c r="B28" s="211"/>
      <c r="C28" s="426" t="s">
        <v>310</v>
      </c>
      <c r="D28" s="186"/>
      <c r="E28" s="186"/>
      <c r="F28" s="186"/>
      <c r="G28" s="186"/>
      <c r="H28" s="186"/>
      <c r="I28" s="210"/>
      <c r="J28" s="8"/>
    </row>
    <row r="29" spans="2:10" s="6" customFormat="1" ht="14.25" customHeight="1" x14ac:dyDescent="0.15">
      <c r="B29" s="211"/>
      <c r="C29" s="382"/>
      <c r="D29" s="186"/>
      <c r="E29" s="186"/>
      <c r="F29" s="186"/>
      <c r="G29" s="186"/>
      <c r="H29" s="186"/>
      <c r="I29" s="210"/>
      <c r="J29" s="8"/>
    </row>
    <row r="30" spans="2:10" s="6" customFormat="1" ht="30" customHeight="1" x14ac:dyDescent="0.15">
      <c r="B30" s="526" t="s">
        <v>373</v>
      </c>
      <c r="C30" s="527"/>
      <c r="D30" s="527"/>
      <c r="E30" s="527"/>
      <c r="F30" s="527"/>
      <c r="G30" s="527"/>
      <c r="H30" s="527"/>
      <c r="I30" s="528"/>
      <c r="J30" s="8"/>
    </row>
    <row r="31" spans="2:10" s="6" customFormat="1" ht="12.75" customHeight="1" x14ac:dyDescent="0.15">
      <c r="B31" s="206"/>
      <c r="C31" s="207"/>
      <c r="D31" s="207"/>
      <c r="E31" s="207"/>
      <c r="F31" s="207"/>
      <c r="G31" s="207"/>
      <c r="H31" s="207"/>
      <c r="I31" s="205"/>
      <c r="J31" s="8"/>
    </row>
    <row r="32" spans="2:10" s="6" customFormat="1" ht="17.25" customHeight="1" x14ac:dyDescent="0.15">
      <c r="B32" s="526" t="s">
        <v>374</v>
      </c>
      <c r="C32" s="527"/>
      <c r="D32" s="527"/>
      <c r="E32" s="527"/>
      <c r="F32" s="527"/>
      <c r="G32" s="527"/>
      <c r="H32" s="89"/>
      <c r="I32" s="215"/>
      <c r="J32" s="8"/>
    </row>
    <row r="33" spans="2:10" s="6" customFormat="1" ht="12.75" customHeight="1" x14ac:dyDescent="0.15">
      <c r="B33" s="206"/>
      <c r="C33" s="207"/>
      <c r="D33" s="207"/>
      <c r="E33" s="207"/>
      <c r="F33" s="207"/>
      <c r="G33" s="207"/>
      <c r="H33" s="207"/>
      <c r="I33" s="205"/>
      <c r="J33" s="8"/>
    </row>
    <row r="34" spans="2:10" s="6" customFormat="1" ht="12.75" customHeight="1" x14ac:dyDescent="0.15">
      <c r="B34" s="526" t="s">
        <v>201</v>
      </c>
      <c r="C34" s="527"/>
      <c r="D34" s="527"/>
      <c r="E34" s="527"/>
      <c r="F34" s="527"/>
      <c r="G34" s="527"/>
      <c r="H34" s="207"/>
      <c r="I34" s="205"/>
      <c r="J34" s="8"/>
    </row>
    <row r="35" spans="2:10" s="6" customFormat="1" ht="12.75" customHeight="1" x14ac:dyDescent="0.15">
      <c r="B35" s="206"/>
      <c r="C35" s="207"/>
      <c r="D35" s="207"/>
      <c r="E35" s="207"/>
      <c r="F35" s="207"/>
      <c r="G35" s="207"/>
      <c r="H35" s="207"/>
      <c r="I35" s="205"/>
      <c r="J35" s="8"/>
    </row>
    <row r="36" spans="2:10" s="6" customFormat="1" ht="10.5" x14ac:dyDescent="0.15">
      <c r="B36" s="526" t="s">
        <v>202</v>
      </c>
      <c r="C36" s="527"/>
      <c r="D36" s="527"/>
      <c r="E36" s="527"/>
      <c r="F36" s="527"/>
      <c r="G36" s="527"/>
      <c r="H36" s="89"/>
      <c r="I36" s="215"/>
      <c r="J36" s="8"/>
    </row>
    <row r="37" spans="2:10" x14ac:dyDescent="0.2">
      <c r="B37" s="204"/>
      <c r="C37" s="207"/>
      <c r="D37" s="207"/>
      <c r="E37" s="207"/>
      <c r="F37" s="207"/>
      <c r="G37" s="207"/>
      <c r="H37" s="207"/>
      <c r="I37" s="205"/>
    </row>
    <row r="38" spans="2:10" s="229" customFormat="1" x14ac:dyDescent="0.2">
      <c r="B38" s="226"/>
      <c r="C38" s="227"/>
      <c r="D38" s="227"/>
      <c r="E38" s="227"/>
      <c r="F38" s="227"/>
      <c r="G38" s="227"/>
      <c r="H38" s="227"/>
      <c r="I38" s="228"/>
    </row>
    <row r="39" spans="2:10" ht="18" x14ac:dyDescent="0.2">
      <c r="B39" s="216" t="s">
        <v>197</v>
      </c>
      <c r="C39" s="88"/>
      <c r="D39" s="88"/>
      <c r="E39" s="88"/>
      <c r="F39" s="88"/>
      <c r="G39" s="88"/>
      <c r="H39" s="88"/>
      <c r="I39" s="217"/>
    </row>
    <row r="40" spans="2:10" x14ac:dyDescent="0.2">
      <c r="B40" s="204"/>
      <c r="C40" s="207"/>
      <c r="D40" s="207"/>
      <c r="E40" s="207"/>
      <c r="F40" s="207"/>
      <c r="G40" s="207"/>
      <c r="H40" s="207"/>
      <c r="I40" s="205"/>
    </row>
    <row r="41" spans="2:10" ht="25.5" customHeight="1" x14ac:dyDescent="0.2">
      <c r="B41" s="526" t="s">
        <v>171</v>
      </c>
      <c r="C41" s="527"/>
      <c r="D41" s="527"/>
      <c r="E41" s="527"/>
      <c r="F41" s="527"/>
      <c r="G41" s="527"/>
      <c r="H41" s="527"/>
      <c r="I41" s="215"/>
    </row>
    <row r="42" spans="2:10" x14ac:dyDescent="0.2">
      <c r="B42" s="204"/>
      <c r="C42" s="207"/>
      <c r="D42" s="207"/>
      <c r="E42" s="207"/>
      <c r="F42" s="207"/>
      <c r="G42" s="207"/>
      <c r="H42" s="207"/>
      <c r="I42" s="205"/>
    </row>
    <row r="43" spans="2:10" x14ac:dyDescent="0.2">
      <c r="B43" s="218"/>
      <c r="C43" s="219"/>
      <c r="D43" s="219"/>
      <c r="E43" s="219"/>
      <c r="F43" s="219"/>
      <c r="G43" s="219"/>
      <c r="H43" s="219"/>
      <c r="I43" s="220"/>
    </row>
    <row r="44" spans="2:10" x14ac:dyDescent="0.2">
      <c r="B44" s="218"/>
      <c r="C44" s="219"/>
      <c r="D44" s="219"/>
      <c r="E44" s="219"/>
      <c r="F44" s="219"/>
      <c r="G44" s="219"/>
      <c r="H44" s="219"/>
      <c r="I44" s="220"/>
    </row>
    <row r="45" spans="2:10" x14ac:dyDescent="0.2">
      <c r="B45" s="218"/>
      <c r="C45" s="219"/>
      <c r="D45" s="219"/>
      <c r="E45" s="219"/>
      <c r="F45" s="219"/>
      <c r="G45" s="219"/>
      <c r="H45" s="219"/>
      <c r="I45" s="220"/>
    </row>
    <row r="46" spans="2:10" x14ac:dyDescent="0.2">
      <c r="B46" s="218"/>
      <c r="C46" s="219"/>
      <c r="D46" s="219"/>
      <c r="E46" s="219"/>
      <c r="F46" s="219"/>
      <c r="G46" s="219"/>
      <c r="H46" s="219"/>
      <c r="I46" s="220"/>
    </row>
    <row r="47" spans="2:10" x14ac:dyDescent="0.2">
      <c r="B47" s="218"/>
      <c r="C47" s="219"/>
      <c r="D47" s="219"/>
      <c r="E47" s="219"/>
      <c r="F47" s="219"/>
      <c r="G47" s="219"/>
      <c r="H47" s="219"/>
      <c r="I47" s="220"/>
    </row>
    <row r="48" spans="2:10" x14ac:dyDescent="0.2">
      <c r="B48" s="218"/>
      <c r="C48" s="219"/>
      <c r="D48" s="219"/>
      <c r="E48" s="219"/>
      <c r="F48" s="219"/>
      <c r="G48" s="219"/>
      <c r="H48" s="219"/>
      <c r="I48" s="220"/>
    </row>
    <row r="49" spans="2:9" ht="25.5" customHeight="1" x14ac:dyDescent="0.2">
      <c r="B49" s="526" t="s">
        <v>198</v>
      </c>
      <c r="C49" s="527"/>
      <c r="D49" s="527"/>
      <c r="E49" s="527"/>
      <c r="F49" s="527"/>
      <c r="G49" s="527"/>
      <c r="H49" s="527"/>
      <c r="I49" s="220"/>
    </row>
    <row r="50" spans="2:9" s="229" customFormat="1" x14ac:dyDescent="0.2">
      <c r="B50" s="230"/>
      <c r="C50" s="231"/>
      <c r="D50" s="231"/>
      <c r="E50" s="231"/>
      <c r="F50" s="231"/>
      <c r="G50" s="231"/>
      <c r="H50" s="231"/>
      <c r="I50" s="232"/>
    </row>
    <row r="51" spans="2:9" ht="27.75" customHeight="1" x14ac:dyDescent="0.2">
      <c r="B51" s="526" t="s">
        <v>376</v>
      </c>
      <c r="C51" s="527"/>
      <c r="D51" s="527"/>
      <c r="E51" s="527"/>
      <c r="F51" s="527"/>
      <c r="G51" s="527"/>
      <c r="H51" s="527"/>
      <c r="I51" s="220"/>
    </row>
    <row r="52" spans="2:9" ht="30.75" customHeight="1" x14ac:dyDescent="0.2">
      <c r="B52" s="530" t="s">
        <v>199</v>
      </c>
      <c r="C52" s="531"/>
      <c r="D52" s="531"/>
      <c r="E52" s="531"/>
      <c r="F52" s="531"/>
      <c r="G52" s="531"/>
      <c r="H52" s="531"/>
      <c r="I52" s="220"/>
    </row>
    <row r="53" spans="2:9" x14ac:dyDescent="0.2">
      <c r="B53" s="218"/>
      <c r="C53" s="219"/>
      <c r="D53" s="219"/>
      <c r="E53" s="219"/>
      <c r="F53" s="219"/>
      <c r="G53" s="219"/>
      <c r="H53" s="219"/>
      <c r="I53" s="220"/>
    </row>
    <row r="54" spans="2:9" x14ac:dyDescent="0.2">
      <c r="B54" s="218"/>
      <c r="C54" s="219"/>
      <c r="D54" s="219"/>
      <c r="E54" s="219"/>
      <c r="F54" s="219"/>
      <c r="G54" s="219"/>
      <c r="H54" s="219"/>
      <c r="I54" s="220"/>
    </row>
    <row r="55" spans="2:9" x14ac:dyDescent="0.2">
      <c r="B55" s="218"/>
      <c r="C55" s="219"/>
      <c r="D55" s="219"/>
      <c r="E55" s="219"/>
      <c r="F55" s="219"/>
      <c r="G55" s="219"/>
      <c r="H55" s="219"/>
      <c r="I55" s="220"/>
    </row>
    <row r="56" spans="2:9" x14ac:dyDescent="0.2">
      <c r="B56" s="218"/>
      <c r="C56" s="219"/>
      <c r="D56" s="219"/>
      <c r="E56" s="219"/>
      <c r="F56" s="219"/>
      <c r="G56" s="219"/>
      <c r="H56" s="219"/>
      <c r="I56" s="220"/>
    </row>
    <row r="57" spans="2:9" x14ac:dyDescent="0.2">
      <c r="B57" s="218"/>
      <c r="C57" s="219"/>
      <c r="D57" s="219"/>
      <c r="E57" s="219"/>
      <c r="F57" s="219"/>
      <c r="G57" s="219"/>
      <c r="H57" s="219"/>
      <c r="I57" s="220"/>
    </row>
    <row r="58" spans="2:9" x14ac:dyDescent="0.2">
      <c r="B58" s="218"/>
      <c r="C58" s="219"/>
      <c r="D58" s="219"/>
      <c r="E58" s="219"/>
      <c r="F58" s="219"/>
      <c r="G58" s="219"/>
      <c r="H58" s="219"/>
      <c r="I58" s="220"/>
    </row>
    <row r="59" spans="2:9" x14ac:dyDescent="0.2">
      <c r="B59" s="218"/>
      <c r="C59" s="219"/>
      <c r="D59" s="219"/>
      <c r="E59" s="219"/>
      <c r="F59" s="219"/>
      <c r="G59" s="219"/>
      <c r="H59" s="219"/>
      <c r="I59" s="220"/>
    </row>
    <row r="60" spans="2:9" x14ac:dyDescent="0.2">
      <c r="B60" s="218"/>
      <c r="C60" s="219"/>
      <c r="D60" s="219"/>
      <c r="E60" s="219"/>
      <c r="F60" s="219"/>
      <c r="G60" s="219"/>
      <c r="H60" s="219"/>
      <c r="I60" s="220"/>
    </row>
    <row r="61" spans="2:9" x14ac:dyDescent="0.2">
      <c r="B61" s="218"/>
      <c r="C61" s="219"/>
      <c r="D61" s="219"/>
      <c r="E61" s="219"/>
      <c r="F61" s="219"/>
      <c r="G61" s="219"/>
      <c r="H61" s="219"/>
      <c r="I61" s="220"/>
    </row>
    <row r="62" spans="2:9" x14ac:dyDescent="0.2">
      <c r="B62" s="218"/>
      <c r="C62" s="219"/>
      <c r="D62" s="219"/>
      <c r="E62" s="219"/>
      <c r="F62" s="219"/>
      <c r="G62" s="219"/>
      <c r="H62" s="219"/>
      <c r="I62" s="220"/>
    </row>
    <row r="63" spans="2:9" x14ac:dyDescent="0.2">
      <c r="B63" s="218"/>
      <c r="C63" s="219"/>
      <c r="D63" s="219"/>
      <c r="E63" s="219"/>
      <c r="F63" s="219"/>
      <c r="G63" s="219"/>
      <c r="H63" s="219"/>
      <c r="I63" s="220"/>
    </row>
    <row r="64" spans="2:9" x14ac:dyDescent="0.2">
      <c r="B64" s="218"/>
      <c r="C64" s="219"/>
      <c r="D64" s="219"/>
      <c r="E64" s="219"/>
      <c r="F64" s="219"/>
      <c r="G64" s="219"/>
      <c r="H64" s="219"/>
      <c r="I64" s="220"/>
    </row>
    <row r="65" spans="2:9" x14ac:dyDescent="0.2">
      <c r="B65" s="218"/>
      <c r="C65" s="219"/>
      <c r="D65" s="219"/>
      <c r="E65" s="219"/>
      <c r="F65" s="219"/>
      <c r="G65" s="219"/>
      <c r="H65" s="219"/>
      <c r="I65" s="220"/>
    </row>
    <row r="66" spans="2:9" x14ac:dyDescent="0.2">
      <c r="B66" s="218"/>
      <c r="C66" s="219"/>
      <c r="D66" s="219"/>
      <c r="E66" s="219"/>
      <c r="F66" s="219"/>
      <c r="G66" s="219"/>
      <c r="H66" s="219"/>
      <c r="I66" s="220"/>
    </row>
    <row r="67" spans="2:9" x14ac:dyDescent="0.2">
      <c r="B67" s="218"/>
      <c r="C67" s="219"/>
      <c r="D67" s="219"/>
      <c r="E67" s="219"/>
      <c r="F67" s="219"/>
      <c r="G67" s="219"/>
      <c r="H67" s="219"/>
      <c r="I67" s="220"/>
    </row>
    <row r="68" spans="2:9" s="229" customFormat="1" x14ac:dyDescent="0.2">
      <c r="B68" s="230"/>
      <c r="C68" s="231"/>
      <c r="D68" s="231"/>
      <c r="E68" s="231"/>
      <c r="F68" s="231"/>
      <c r="G68" s="231"/>
      <c r="H68" s="231"/>
      <c r="I68" s="232"/>
    </row>
    <row r="69" spans="2:9" x14ac:dyDescent="0.2">
      <c r="B69" s="530" t="s">
        <v>200</v>
      </c>
      <c r="C69" s="531"/>
      <c r="D69" s="531"/>
      <c r="E69" s="531"/>
      <c r="F69" s="531"/>
      <c r="G69" s="531"/>
      <c r="H69" s="531"/>
      <c r="I69" s="220"/>
    </row>
    <row r="70" spans="2:9" x14ac:dyDescent="0.2">
      <c r="B70" s="218"/>
      <c r="C70" s="219"/>
      <c r="D70" s="219"/>
      <c r="E70" s="219"/>
      <c r="F70" s="219"/>
      <c r="G70" s="219"/>
      <c r="H70" s="219"/>
      <c r="I70" s="220"/>
    </row>
    <row r="71" spans="2:9" x14ac:dyDescent="0.2">
      <c r="B71" s="218"/>
      <c r="C71" s="219"/>
      <c r="D71" s="219"/>
      <c r="E71" s="219"/>
      <c r="F71" s="219"/>
      <c r="G71" s="219"/>
      <c r="H71" s="219"/>
      <c r="I71" s="220"/>
    </row>
    <row r="72" spans="2:9" x14ac:dyDescent="0.2">
      <c r="B72" s="218"/>
      <c r="C72" s="219"/>
      <c r="D72" s="219"/>
      <c r="E72" s="219"/>
      <c r="F72" s="219"/>
      <c r="G72" s="219"/>
      <c r="H72" s="219"/>
      <c r="I72" s="220"/>
    </row>
    <row r="73" spans="2:9" x14ac:dyDescent="0.2">
      <c r="B73" s="218"/>
      <c r="C73" s="219"/>
      <c r="D73" s="219"/>
      <c r="E73" s="219"/>
      <c r="F73" s="219"/>
      <c r="G73" s="219"/>
      <c r="H73" s="219"/>
      <c r="I73" s="220"/>
    </row>
    <row r="74" spans="2:9" x14ac:dyDescent="0.2">
      <c r="B74" s="218"/>
      <c r="C74" s="219"/>
      <c r="D74" s="219"/>
      <c r="E74" s="219"/>
      <c r="F74" s="219"/>
      <c r="G74" s="219"/>
      <c r="H74" s="219"/>
      <c r="I74" s="220"/>
    </row>
    <row r="75" spans="2:9" x14ac:dyDescent="0.2">
      <c r="B75" s="218"/>
      <c r="C75" s="219"/>
      <c r="D75" s="219"/>
      <c r="E75" s="219"/>
      <c r="F75" s="219"/>
      <c r="G75" s="219"/>
      <c r="H75" s="219"/>
      <c r="I75" s="220"/>
    </row>
    <row r="76" spans="2:9" x14ac:dyDescent="0.2">
      <c r="B76" s="218"/>
      <c r="C76" s="219"/>
      <c r="D76" s="219"/>
      <c r="E76" s="219"/>
      <c r="F76" s="219"/>
      <c r="G76" s="219"/>
      <c r="H76" s="219"/>
      <c r="I76" s="220"/>
    </row>
    <row r="77" spans="2:9" x14ac:dyDescent="0.2">
      <c r="B77" s="218"/>
      <c r="C77" s="219"/>
      <c r="D77" s="219"/>
      <c r="E77" s="219"/>
      <c r="F77" s="219"/>
      <c r="G77" s="219"/>
      <c r="H77" s="219"/>
      <c r="I77" s="220"/>
    </row>
    <row r="78" spans="2:9" x14ac:dyDescent="0.2">
      <c r="B78" s="218"/>
      <c r="C78" s="219"/>
      <c r="D78" s="219"/>
      <c r="E78" s="219"/>
      <c r="F78" s="219"/>
      <c r="G78" s="219"/>
      <c r="H78" s="219"/>
      <c r="I78" s="220"/>
    </row>
    <row r="79" spans="2:9" x14ac:dyDescent="0.2">
      <c r="B79" s="218"/>
      <c r="C79" s="219"/>
      <c r="D79" s="219"/>
      <c r="E79" s="219"/>
      <c r="F79" s="219"/>
      <c r="G79" s="219"/>
      <c r="H79" s="219"/>
      <c r="I79" s="220"/>
    </row>
    <row r="80" spans="2:9" x14ac:dyDescent="0.2">
      <c r="B80" s="218"/>
      <c r="C80" s="219"/>
      <c r="D80" s="219"/>
      <c r="E80" s="219"/>
      <c r="F80" s="219"/>
      <c r="G80" s="219"/>
      <c r="H80" s="219"/>
      <c r="I80" s="220"/>
    </row>
    <row r="81" spans="2:9" x14ac:dyDescent="0.2">
      <c r="B81" s="218"/>
      <c r="C81" s="219"/>
      <c r="D81" s="219"/>
      <c r="E81" s="219"/>
      <c r="F81" s="219"/>
      <c r="G81" s="219"/>
      <c r="H81" s="219"/>
      <c r="I81" s="220"/>
    </row>
    <row r="82" spans="2:9" x14ac:dyDescent="0.2">
      <c r="B82" s="218"/>
      <c r="C82" s="219"/>
      <c r="D82" s="219"/>
      <c r="E82" s="219"/>
      <c r="F82" s="219"/>
      <c r="G82" s="219"/>
      <c r="H82" s="219"/>
      <c r="I82" s="220"/>
    </row>
    <row r="83" spans="2:9" x14ac:dyDescent="0.2">
      <c r="B83" s="530"/>
      <c r="C83" s="531"/>
      <c r="D83" s="531"/>
      <c r="E83" s="531"/>
      <c r="F83" s="531"/>
      <c r="G83" s="531"/>
      <c r="H83" s="531"/>
      <c r="I83" s="220"/>
    </row>
    <row r="84" spans="2:9" x14ac:dyDescent="0.2">
      <c r="B84" s="218"/>
      <c r="C84" s="219"/>
      <c r="D84" s="219"/>
      <c r="E84" s="219"/>
      <c r="F84" s="219"/>
      <c r="G84" s="219"/>
      <c r="H84" s="219"/>
      <c r="I84" s="220"/>
    </row>
    <row r="85" spans="2:9" x14ac:dyDescent="0.2">
      <c r="B85" s="218"/>
      <c r="C85" s="219"/>
      <c r="D85" s="219"/>
      <c r="E85" s="219"/>
      <c r="F85" s="219"/>
      <c r="G85" s="219"/>
      <c r="H85" s="219"/>
      <c r="I85" s="220"/>
    </row>
    <row r="86" spans="2:9" x14ac:dyDescent="0.2">
      <c r="B86" s="218"/>
      <c r="C86" s="219"/>
      <c r="D86" s="219"/>
      <c r="E86" s="219"/>
      <c r="F86" s="219"/>
      <c r="G86" s="219"/>
      <c r="H86" s="219"/>
      <c r="I86" s="220"/>
    </row>
    <row r="87" spans="2:9" x14ac:dyDescent="0.2">
      <c r="B87" s="218"/>
      <c r="C87" s="219"/>
      <c r="D87" s="219"/>
      <c r="E87" s="219"/>
      <c r="F87" s="219"/>
      <c r="G87" s="219"/>
      <c r="H87" s="219"/>
      <c r="I87" s="220"/>
    </row>
    <row r="88" spans="2:9" x14ac:dyDescent="0.2">
      <c r="B88" s="218"/>
      <c r="C88" s="219"/>
      <c r="D88" s="219"/>
      <c r="E88" s="219"/>
      <c r="F88" s="219"/>
      <c r="G88" s="219"/>
      <c r="H88" s="219"/>
      <c r="I88" s="220"/>
    </row>
    <row r="89" spans="2:9" x14ac:dyDescent="0.2">
      <c r="B89" s="218"/>
      <c r="C89" s="219"/>
      <c r="D89" s="219"/>
      <c r="E89" s="219"/>
      <c r="F89" s="219"/>
      <c r="G89" s="219"/>
      <c r="H89" s="219"/>
      <c r="I89" s="220"/>
    </row>
    <row r="90" spans="2:9" x14ac:dyDescent="0.2">
      <c r="B90" s="218"/>
      <c r="C90" s="219"/>
      <c r="D90" s="219"/>
      <c r="E90" s="219"/>
      <c r="F90" s="219"/>
      <c r="G90" s="219"/>
      <c r="H90" s="219"/>
      <c r="I90" s="220"/>
    </row>
    <row r="91" spans="2:9" x14ac:dyDescent="0.2">
      <c r="B91" s="218"/>
      <c r="C91" s="219"/>
      <c r="D91" s="219"/>
      <c r="E91" s="219"/>
      <c r="F91" s="219"/>
      <c r="G91" s="219"/>
      <c r="H91" s="219"/>
      <c r="I91" s="220"/>
    </row>
    <row r="92" spans="2:9" x14ac:dyDescent="0.2">
      <c r="B92" s="218"/>
      <c r="C92" s="219"/>
      <c r="D92" s="219"/>
      <c r="E92" s="219"/>
      <c r="F92" s="219"/>
      <c r="G92" s="219"/>
      <c r="H92" s="219"/>
      <c r="I92" s="220"/>
    </row>
    <row r="93" spans="2:9" x14ac:dyDescent="0.2">
      <c r="B93" s="218"/>
      <c r="C93" s="219"/>
      <c r="D93" s="219"/>
      <c r="E93" s="219"/>
      <c r="F93" s="219"/>
      <c r="G93" s="219"/>
      <c r="H93" s="219"/>
      <c r="I93" s="220"/>
    </row>
    <row r="94" spans="2:9" x14ac:dyDescent="0.2">
      <c r="B94" s="218"/>
      <c r="C94" s="219"/>
      <c r="D94" s="219"/>
      <c r="E94" s="219"/>
      <c r="F94" s="219"/>
      <c r="G94" s="219"/>
      <c r="H94" s="219"/>
      <c r="I94" s="220"/>
    </row>
    <row r="95" spans="2:9" x14ac:dyDescent="0.2">
      <c r="B95" s="218"/>
      <c r="C95" s="219"/>
      <c r="D95" s="219"/>
      <c r="E95" s="219"/>
      <c r="F95" s="219"/>
      <c r="G95" s="219"/>
      <c r="H95" s="219"/>
      <c r="I95" s="220"/>
    </row>
    <row r="96" spans="2:9" x14ac:dyDescent="0.2">
      <c r="B96" s="218"/>
      <c r="C96" s="219"/>
      <c r="D96" s="219"/>
      <c r="E96" s="219"/>
      <c r="F96" s="219"/>
      <c r="G96" s="219"/>
      <c r="H96" s="219"/>
      <c r="I96" s="220"/>
    </row>
    <row r="97" spans="2:9" x14ac:dyDescent="0.2">
      <c r="B97" s="218"/>
      <c r="C97" s="219"/>
      <c r="D97" s="219"/>
      <c r="E97" s="219"/>
      <c r="F97" s="219"/>
      <c r="G97" s="219"/>
      <c r="H97" s="219"/>
      <c r="I97" s="220"/>
    </row>
    <row r="98" spans="2:9" x14ac:dyDescent="0.2">
      <c r="B98" s="591" t="s">
        <v>380</v>
      </c>
      <c r="C98" s="592"/>
      <c r="D98" s="592"/>
      <c r="E98" s="592"/>
      <c r="F98" s="592"/>
      <c r="G98" s="592"/>
      <c r="H98" s="219"/>
      <c r="I98" s="220"/>
    </row>
    <row r="99" spans="2:9" x14ac:dyDescent="0.2">
      <c r="B99" s="591"/>
      <c r="C99" s="592"/>
      <c r="D99" s="592"/>
      <c r="E99" s="592"/>
      <c r="F99" s="592"/>
      <c r="G99" s="592"/>
      <c r="H99" s="219"/>
      <c r="I99" s="220"/>
    </row>
    <row r="100" spans="2:9" x14ac:dyDescent="0.2">
      <c r="B100" s="514" t="s">
        <v>377</v>
      </c>
      <c r="C100" s="515"/>
      <c r="D100" s="515"/>
      <c r="E100" s="515"/>
      <c r="F100" s="515"/>
      <c r="G100" s="515"/>
      <c r="H100" s="515"/>
      <c r="I100" s="220"/>
    </row>
    <row r="101" spans="2:9" ht="23.25" customHeight="1" x14ac:dyDescent="0.2">
      <c r="B101" s="526" t="s">
        <v>378</v>
      </c>
      <c r="C101" s="527"/>
      <c r="D101" s="527"/>
      <c r="E101" s="527"/>
      <c r="F101" s="527"/>
      <c r="G101" s="527"/>
      <c r="H101" s="527"/>
      <c r="I101" s="220"/>
    </row>
    <row r="102" spans="2:9" x14ac:dyDescent="0.2">
      <c r="B102" s="218"/>
      <c r="C102" s="219"/>
      <c r="D102" s="219"/>
      <c r="E102" s="219"/>
      <c r="F102" s="219"/>
      <c r="G102" s="219"/>
      <c r="H102" s="219"/>
      <c r="I102" s="220"/>
    </row>
    <row r="103" spans="2:9" x14ac:dyDescent="0.2">
      <c r="B103" s="218"/>
      <c r="C103" s="219"/>
      <c r="D103" s="219"/>
      <c r="E103" s="219"/>
      <c r="F103" s="219"/>
      <c r="G103" s="219"/>
      <c r="H103" s="219"/>
      <c r="I103" s="220"/>
    </row>
    <row r="104" spans="2:9" x14ac:dyDescent="0.2">
      <c r="B104" s="218"/>
      <c r="C104" s="219"/>
      <c r="D104" s="219"/>
      <c r="E104" s="219"/>
      <c r="F104" s="219"/>
      <c r="G104" s="219"/>
      <c r="H104" s="219"/>
      <c r="I104" s="220"/>
    </row>
    <row r="105" spans="2:9" x14ac:dyDescent="0.2">
      <c r="B105" s="218"/>
      <c r="C105" s="219"/>
      <c r="D105" s="219"/>
      <c r="E105" s="219"/>
      <c r="F105" s="219"/>
      <c r="G105" s="219"/>
      <c r="H105" s="219"/>
      <c r="I105" s="220"/>
    </row>
    <row r="106" spans="2:9" x14ac:dyDescent="0.2">
      <c r="B106" s="218"/>
      <c r="C106" s="219"/>
      <c r="D106" s="219"/>
      <c r="E106" s="219"/>
      <c r="F106" s="219"/>
      <c r="G106" s="219"/>
      <c r="H106" s="219"/>
      <c r="I106" s="220"/>
    </row>
    <row r="107" spans="2:9" x14ac:dyDescent="0.2">
      <c r="B107" s="218"/>
      <c r="C107" s="219"/>
      <c r="D107" s="219"/>
      <c r="E107" s="219"/>
      <c r="F107" s="219"/>
      <c r="G107" s="219"/>
      <c r="H107" s="219"/>
      <c r="I107" s="220"/>
    </row>
    <row r="108" spans="2:9" x14ac:dyDescent="0.2">
      <c r="B108" s="218"/>
      <c r="C108" s="219"/>
      <c r="D108" s="219"/>
      <c r="E108" s="219"/>
      <c r="F108" s="219"/>
      <c r="G108" s="219"/>
      <c r="H108" s="219"/>
      <c r="I108" s="220"/>
    </row>
    <row r="109" spans="2:9" x14ac:dyDescent="0.2">
      <c r="B109" s="218"/>
      <c r="C109" s="219"/>
      <c r="D109" s="219"/>
      <c r="E109" s="219"/>
      <c r="F109" s="219"/>
      <c r="G109" s="219"/>
      <c r="H109" s="219"/>
      <c r="I109" s="220"/>
    </row>
    <row r="110" spans="2:9" x14ac:dyDescent="0.2">
      <c r="B110" s="218"/>
      <c r="C110" s="219"/>
      <c r="D110" s="219"/>
      <c r="E110" s="219"/>
      <c r="F110" s="219"/>
      <c r="G110" s="219"/>
      <c r="H110" s="219"/>
      <c r="I110" s="220"/>
    </row>
    <row r="111" spans="2:9" x14ac:dyDescent="0.2">
      <c r="B111" s="218"/>
      <c r="C111" s="219"/>
      <c r="D111" s="219"/>
      <c r="E111" s="219"/>
      <c r="F111" s="219"/>
      <c r="G111" s="219"/>
      <c r="H111" s="219"/>
      <c r="I111" s="220"/>
    </row>
    <row r="112" spans="2:9" x14ac:dyDescent="0.2">
      <c r="B112" s="218"/>
      <c r="C112" s="219"/>
      <c r="D112" s="219"/>
      <c r="E112" s="219"/>
      <c r="F112" s="219"/>
      <c r="G112" s="219"/>
      <c r="H112" s="219"/>
      <c r="I112" s="220"/>
    </row>
    <row r="113" spans="2:9" x14ac:dyDescent="0.2">
      <c r="B113" s="218"/>
      <c r="C113" s="219"/>
      <c r="D113" s="219"/>
      <c r="E113" s="219"/>
      <c r="F113" s="219"/>
      <c r="G113" s="219"/>
      <c r="H113" s="219"/>
      <c r="I113" s="220"/>
    </row>
    <row r="114" spans="2:9" x14ac:dyDescent="0.2">
      <c r="B114" s="218"/>
      <c r="C114" s="219"/>
      <c r="D114" s="219"/>
      <c r="E114" s="219"/>
      <c r="F114" s="219"/>
      <c r="G114" s="219"/>
      <c r="H114" s="219"/>
      <c r="I114" s="220"/>
    </row>
    <row r="115" spans="2:9" x14ac:dyDescent="0.2">
      <c r="B115" s="218"/>
      <c r="C115" s="219"/>
      <c r="D115" s="219"/>
      <c r="E115" s="219"/>
      <c r="F115" s="219"/>
      <c r="G115" s="219"/>
      <c r="H115" s="219"/>
      <c r="I115" s="220"/>
    </row>
    <row r="116" spans="2:9" x14ac:dyDescent="0.2">
      <c r="B116" s="218"/>
      <c r="C116" s="219"/>
      <c r="D116" s="219"/>
      <c r="E116" s="219"/>
      <c r="F116" s="219"/>
      <c r="G116" s="219"/>
      <c r="H116" s="219"/>
      <c r="I116" s="220"/>
    </row>
    <row r="117" spans="2:9" x14ac:dyDescent="0.2">
      <c r="B117" s="218"/>
      <c r="C117" s="219"/>
      <c r="D117" s="219"/>
      <c r="E117" s="219"/>
      <c r="F117" s="219"/>
      <c r="G117" s="219"/>
      <c r="H117" s="219"/>
      <c r="I117" s="220"/>
    </row>
    <row r="118" spans="2:9" x14ac:dyDescent="0.2">
      <c r="B118" s="218"/>
      <c r="C118" s="219"/>
      <c r="D118" s="219"/>
      <c r="E118" s="219"/>
      <c r="F118" s="219"/>
      <c r="G118" s="219"/>
      <c r="H118" s="219"/>
      <c r="I118" s="220"/>
    </row>
    <row r="119" spans="2:9" x14ac:dyDescent="0.2">
      <c r="B119" s="218"/>
      <c r="C119" s="219"/>
      <c r="D119" s="219"/>
      <c r="E119" s="219"/>
      <c r="F119" s="219"/>
      <c r="G119" s="219"/>
      <c r="H119" s="219"/>
      <c r="I119" s="220"/>
    </row>
    <row r="120" spans="2:9" x14ac:dyDescent="0.2">
      <c r="B120" s="218"/>
      <c r="C120" s="219"/>
      <c r="D120" s="219"/>
      <c r="E120" s="219"/>
      <c r="F120" s="219"/>
      <c r="G120" s="219"/>
      <c r="H120" s="219"/>
      <c r="I120" s="220"/>
    </row>
    <row r="121" spans="2:9" x14ac:dyDescent="0.2">
      <c r="B121" s="218"/>
      <c r="C121" s="219"/>
      <c r="D121" s="219"/>
      <c r="E121" s="219"/>
      <c r="F121" s="219"/>
      <c r="G121" s="219"/>
      <c r="H121" s="219"/>
      <c r="I121" s="220"/>
    </row>
    <row r="122" spans="2:9" x14ac:dyDescent="0.2">
      <c r="B122" s="218"/>
      <c r="C122" s="219"/>
      <c r="D122" s="219"/>
      <c r="E122" s="219"/>
      <c r="F122" s="219"/>
      <c r="G122" s="219"/>
      <c r="H122" s="219"/>
      <c r="I122" s="220"/>
    </row>
    <row r="123" spans="2:9" x14ac:dyDescent="0.2">
      <c r="B123" s="218"/>
      <c r="C123" s="219"/>
      <c r="D123" s="219"/>
      <c r="E123" s="219"/>
      <c r="F123" s="219"/>
      <c r="G123" s="219"/>
      <c r="H123" s="219"/>
      <c r="I123" s="220"/>
    </row>
    <row r="124" spans="2:9" x14ac:dyDescent="0.2">
      <c r="B124" s="218"/>
      <c r="C124" s="219"/>
      <c r="D124" s="219"/>
      <c r="E124" s="219"/>
      <c r="F124" s="219"/>
      <c r="G124" s="219"/>
      <c r="H124" s="219"/>
      <c r="I124" s="220"/>
    </row>
    <row r="125" spans="2:9" x14ac:dyDescent="0.2">
      <c r="B125" s="218"/>
      <c r="C125" s="219"/>
      <c r="D125" s="219"/>
      <c r="E125" s="219"/>
      <c r="F125" s="219"/>
      <c r="G125" s="219"/>
      <c r="H125" s="219"/>
      <c r="I125" s="220"/>
    </row>
    <row r="126" spans="2:9" x14ac:dyDescent="0.2">
      <c r="B126" s="218"/>
      <c r="C126" s="219"/>
      <c r="D126" s="219"/>
      <c r="E126" s="219"/>
      <c r="F126" s="219"/>
      <c r="G126" s="219"/>
      <c r="H126" s="219"/>
      <c r="I126" s="220"/>
    </row>
    <row r="127" spans="2:9" x14ac:dyDescent="0.2">
      <c r="B127" s="218"/>
      <c r="C127" s="219"/>
      <c r="D127" s="219"/>
      <c r="E127" s="219"/>
      <c r="F127" s="219"/>
      <c r="G127" s="219"/>
      <c r="H127" s="219"/>
      <c r="I127" s="220"/>
    </row>
    <row r="128" spans="2:9" x14ac:dyDescent="0.2">
      <c r="B128" s="218"/>
      <c r="C128" s="219"/>
      <c r="D128" s="219"/>
      <c r="E128" s="219"/>
      <c r="F128" s="219"/>
      <c r="G128" s="219"/>
      <c r="H128" s="219"/>
      <c r="I128" s="220"/>
    </row>
    <row r="129" spans="1:10" x14ac:dyDescent="0.2">
      <c r="B129" s="530" t="s">
        <v>375</v>
      </c>
      <c r="C129" s="531"/>
      <c r="D129" s="531"/>
      <c r="E129" s="531"/>
      <c r="F129" s="531"/>
      <c r="G129" s="531"/>
      <c r="H129" s="531"/>
      <c r="I129" s="220"/>
    </row>
    <row r="130" spans="1:10" x14ac:dyDescent="0.2">
      <c r="B130" s="218"/>
      <c r="C130" s="219"/>
      <c r="D130" s="219"/>
      <c r="E130" s="219"/>
      <c r="F130" s="219"/>
      <c r="G130" s="219"/>
      <c r="H130" s="219"/>
      <c r="I130" s="220"/>
    </row>
    <row r="131" spans="1:10" x14ac:dyDescent="0.2">
      <c r="B131" s="530" t="s">
        <v>381</v>
      </c>
      <c r="C131" s="531"/>
      <c r="D131" s="531"/>
      <c r="E131" s="531"/>
      <c r="F131" s="531"/>
      <c r="G131" s="531"/>
      <c r="H131" s="531"/>
      <c r="I131" s="220"/>
    </row>
    <row r="132" spans="1:10" x14ac:dyDescent="0.2">
      <c r="B132" s="591" t="s">
        <v>379</v>
      </c>
      <c r="C132" s="592"/>
      <c r="D132" s="592"/>
      <c r="E132" s="592"/>
      <c r="F132" s="592"/>
      <c r="G132" s="592"/>
      <c r="H132" s="516"/>
      <c r="I132" s="220"/>
    </row>
    <row r="133" spans="1:10" x14ac:dyDescent="0.2">
      <c r="B133" s="715"/>
      <c r="C133" s="716"/>
      <c r="D133" s="716"/>
      <c r="E133" s="716"/>
      <c r="F133" s="716"/>
      <c r="G133" s="716"/>
      <c r="H133" s="516"/>
      <c r="I133" s="220"/>
    </row>
    <row r="134" spans="1:10" x14ac:dyDescent="0.2">
      <c r="B134" s="715"/>
      <c r="C134" s="716"/>
      <c r="D134" s="716"/>
      <c r="E134" s="716"/>
      <c r="F134" s="716"/>
      <c r="G134" s="716"/>
      <c r="H134" s="516"/>
      <c r="I134" s="220"/>
    </row>
    <row r="135" spans="1:10" x14ac:dyDescent="0.2">
      <c r="B135" s="221"/>
      <c r="C135" s="222"/>
      <c r="D135" s="222"/>
      <c r="E135" s="222"/>
      <c r="F135" s="222"/>
      <c r="G135" s="222"/>
      <c r="H135" s="222"/>
      <c r="I135" s="223"/>
    </row>
    <row r="136" spans="1:10" x14ac:dyDescent="0.2">
      <c r="A136" s="229"/>
      <c r="B136" s="229"/>
      <c r="C136" s="229"/>
      <c r="D136" s="229"/>
      <c r="E136" s="229"/>
      <c r="F136" s="229"/>
      <c r="G136" s="229"/>
      <c r="H136" s="229"/>
      <c r="I136" s="229"/>
      <c r="J136" s="229"/>
    </row>
  </sheetData>
  <sheetProtection selectLockedCells="1"/>
  <mergeCells count="18">
    <mergeCell ref="B98:G98"/>
    <mergeCell ref="B99:G99"/>
    <mergeCell ref="B101:H101"/>
    <mergeCell ref="B129:H129"/>
    <mergeCell ref="B131:H131"/>
    <mergeCell ref="B132:G132"/>
    <mergeCell ref="B51:H51"/>
    <mergeCell ref="C4:H4"/>
    <mergeCell ref="B52:H52"/>
    <mergeCell ref="B69:H69"/>
    <mergeCell ref="B83:H83"/>
    <mergeCell ref="B34:G34"/>
    <mergeCell ref="B41:H41"/>
    <mergeCell ref="B2:I2"/>
    <mergeCell ref="B30:I30"/>
    <mergeCell ref="B32:G32"/>
    <mergeCell ref="B36:G36"/>
    <mergeCell ref="B49:H49"/>
  </mergeCells>
  <dataValidations count="4">
    <dataValidation allowBlank="1" showInputMessage="1" showErrorMessage="1" promptTitle="Ano 0" prompt="O ano 0, no caso do PAO 2024-2026 deverá ser o ano 2023" sqref="C7" xr:uid="{68A2ADFA-8F0C-4B1F-9195-7F71D7F8C872}"/>
    <dataValidation type="custom" allowBlank="1" showInputMessage="1" showErrorMessage="1" errorTitle="Não mexer" error="Fórmula: Não deve alterar esta célula" sqref="C9" xr:uid="{5DAD1E3A-4DF0-4259-B5D7-6B7183DB670E}">
      <formula1>""""""</formula1>
    </dataValidation>
    <dataValidation type="custom" operator="equal" allowBlank="1" showInputMessage="1" showErrorMessage="1" errorTitle="Erro" error="Não alterar células" sqref="C11:I134 B12:B134" xr:uid="{E5EEAF49-8CCB-4FC0-928E-FF302BDB5E15}">
      <formula1>""""""</formula1>
    </dataValidation>
    <dataValidation type="custom" operator="equal" allowBlank="1" showInputMessage="1" showErrorMessage="1" errorTitle="Erro" error="Não alterar células" sqref="B11" xr:uid="{8C2B6BCD-A9D3-46E7-9E1F-D05A5DF9096B}">
      <formula1>"&lt;&gt;0;&lt;&gt;"""""</formula1>
    </dataValidation>
  </dataValidations>
  <pageMargins left="0.74803149606299213" right="0.74803149606299213" top="0.98425196850393704" bottom="0.98425196850393704" header="0.51181102362204722" footer="0.51181102362204722"/>
  <pageSetup scale="56" fitToHeight="2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7F24C-A94D-4209-B8E3-D94BF065C0DE}">
  <sheetPr>
    <tabColor theme="4" tint="-0.249977111117893"/>
    <pageSetUpPr fitToPage="1"/>
  </sheetPr>
  <dimension ref="A1:WVQ103"/>
  <sheetViews>
    <sheetView showGridLines="0" zoomScaleNormal="100" workbookViewId="0">
      <selection activeCell="D43" sqref="D43"/>
    </sheetView>
  </sheetViews>
  <sheetFormatPr defaultColWidth="0" defaultRowHeight="12.75" customHeight="1" zeroHeight="1" x14ac:dyDescent="0.2"/>
  <cols>
    <col min="1" max="1" width="7.28515625" style="229" customWidth="1"/>
    <col min="2" max="2" width="34.7109375" style="229" customWidth="1"/>
    <col min="3" max="3" width="14.7109375" style="229" bestFit="1" customWidth="1"/>
    <col min="4" max="7" width="13.5703125" style="229" customWidth="1"/>
    <col min="8" max="8" width="2.140625" style="470" customWidth="1"/>
    <col min="9" max="9" width="13.5703125" style="231" customWidth="1"/>
    <col min="10" max="253" width="12.28515625" style="5" hidden="1"/>
    <col min="254" max="254" width="2.28515625" style="5" hidden="1"/>
    <col min="255" max="255" width="40.140625" style="5" hidden="1"/>
    <col min="256" max="265" width="13.5703125" style="5" hidden="1"/>
    <col min="266" max="509" width="12.28515625" style="5" hidden="1"/>
    <col min="510" max="510" width="2.28515625" style="5" hidden="1"/>
    <col min="511" max="511" width="40.140625" style="5" hidden="1"/>
    <col min="512" max="521" width="13.5703125" style="5" hidden="1"/>
    <col min="522" max="765" width="12.28515625" style="5" hidden="1"/>
    <col min="766" max="766" width="2.28515625" style="5" hidden="1"/>
    <col min="767" max="767" width="40.140625" style="5" hidden="1"/>
    <col min="768" max="777" width="13.5703125" style="5" hidden="1"/>
    <col min="778" max="1021" width="12.28515625" style="5" hidden="1"/>
    <col min="1022" max="1022" width="2.28515625" style="5" hidden="1"/>
    <col min="1023" max="1023" width="40.140625" style="5" hidden="1"/>
    <col min="1024" max="1033" width="13.5703125" style="5" hidden="1"/>
    <col min="1034" max="1277" width="12.28515625" style="5" hidden="1"/>
    <col min="1278" max="1278" width="2.28515625" style="5" hidden="1"/>
    <col min="1279" max="1279" width="40.140625" style="5" hidden="1"/>
    <col min="1280" max="1289" width="13.5703125" style="5" hidden="1"/>
    <col min="1290" max="1533" width="12.28515625" style="5" hidden="1"/>
    <col min="1534" max="1534" width="2.28515625" style="5" hidden="1"/>
    <col min="1535" max="1535" width="40.140625" style="5" hidden="1"/>
    <col min="1536" max="1545" width="13.5703125" style="5" hidden="1"/>
    <col min="1546" max="1789" width="12.28515625" style="5" hidden="1"/>
    <col min="1790" max="1790" width="2.28515625" style="5" hidden="1"/>
    <col min="1791" max="1791" width="40.140625" style="5" hidden="1"/>
    <col min="1792" max="1801" width="13.5703125" style="5" hidden="1"/>
    <col min="1802" max="2045" width="12.28515625" style="5" hidden="1"/>
    <col min="2046" max="2046" width="2.28515625" style="5" hidden="1"/>
    <col min="2047" max="2047" width="40.140625" style="5" hidden="1"/>
    <col min="2048" max="2057" width="13.5703125" style="5" hidden="1"/>
    <col min="2058" max="2301" width="12.28515625" style="5" hidden="1"/>
    <col min="2302" max="2302" width="2.28515625" style="5" hidden="1"/>
    <col min="2303" max="2303" width="40.140625" style="5" hidden="1"/>
    <col min="2304" max="2313" width="13.5703125" style="5" hidden="1"/>
    <col min="2314" max="2557" width="12.28515625" style="5" hidden="1"/>
    <col min="2558" max="2558" width="2.28515625" style="5" hidden="1"/>
    <col min="2559" max="2559" width="40.140625" style="5" hidden="1"/>
    <col min="2560" max="2569" width="13.5703125" style="5" hidden="1"/>
    <col min="2570" max="2813" width="12.28515625" style="5" hidden="1"/>
    <col min="2814" max="2814" width="2.28515625" style="5" hidden="1"/>
    <col min="2815" max="2815" width="40.140625" style="5" hidden="1"/>
    <col min="2816" max="2825" width="13.5703125" style="5" hidden="1"/>
    <col min="2826" max="3069" width="12.28515625" style="5" hidden="1"/>
    <col min="3070" max="3070" width="2.28515625" style="5" hidden="1"/>
    <col min="3071" max="3071" width="40.140625" style="5" hidden="1"/>
    <col min="3072" max="3081" width="13.5703125" style="5" hidden="1"/>
    <col min="3082" max="3325" width="12.28515625" style="5" hidden="1"/>
    <col min="3326" max="3326" width="2.28515625" style="5" hidden="1"/>
    <col min="3327" max="3327" width="40.140625" style="5" hidden="1"/>
    <col min="3328" max="3337" width="13.5703125" style="5" hidden="1"/>
    <col min="3338" max="3581" width="12.28515625" style="5" hidden="1"/>
    <col min="3582" max="3582" width="2.28515625" style="5" hidden="1"/>
    <col min="3583" max="3583" width="40.140625" style="5" hidden="1"/>
    <col min="3584" max="3593" width="13.5703125" style="5" hidden="1"/>
    <col min="3594" max="3837" width="12.28515625" style="5" hidden="1"/>
    <col min="3838" max="3838" width="2.28515625" style="5" hidden="1"/>
    <col min="3839" max="3839" width="40.140625" style="5" hidden="1"/>
    <col min="3840" max="3849" width="13.5703125" style="5" hidden="1"/>
    <col min="3850" max="4093" width="12.28515625" style="5" hidden="1"/>
    <col min="4094" max="4094" width="2.28515625" style="5" hidden="1"/>
    <col min="4095" max="4095" width="40.140625" style="5" hidden="1"/>
    <col min="4096" max="4105" width="13.5703125" style="5" hidden="1"/>
    <col min="4106" max="4349" width="12.28515625" style="5" hidden="1"/>
    <col min="4350" max="4350" width="2.28515625" style="5" hidden="1"/>
    <col min="4351" max="4351" width="40.140625" style="5" hidden="1"/>
    <col min="4352" max="4361" width="13.5703125" style="5" hidden="1"/>
    <col min="4362" max="4605" width="12.28515625" style="5" hidden="1"/>
    <col min="4606" max="4606" width="2.28515625" style="5" hidden="1"/>
    <col min="4607" max="4607" width="40.140625" style="5" hidden="1"/>
    <col min="4608" max="4617" width="13.5703125" style="5" hidden="1"/>
    <col min="4618" max="4861" width="12.28515625" style="5" hidden="1"/>
    <col min="4862" max="4862" width="2.28515625" style="5" hidden="1"/>
    <col min="4863" max="4863" width="40.140625" style="5" hidden="1"/>
    <col min="4864" max="4873" width="13.5703125" style="5" hidden="1"/>
    <col min="4874" max="5117" width="12.28515625" style="5" hidden="1"/>
    <col min="5118" max="5118" width="2.28515625" style="5" hidden="1"/>
    <col min="5119" max="5119" width="40.140625" style="5" hidden="1"/>
    <col min="5120" max="5129" width="13.5703125" style="5" hidden="1"/>
    <col min="5130" max="5373" width="12.28515625" style="5" hidden="1"/>
    <col min="5374" max="5374" width="2.28515625" style="5" hidden="1"/>
    <col min="5375" max="5375" width="40.140625" style="5" hidden="1"/>
    <col min="5376" max="5385" width="13.5703125" style="5" hidden="1"/>
    <col min="5386" max="5629" width="12.28515625" style="5" hidden="1"/>
    <col min="5630" max="5630" width="2.28515625" style="5" hidden="1"/>
    <col min="5631" max="5631" width="40.140625" style="5" hidden="1"/>
    <col min="5632" max="5641" width="13.5703125" style="5" hidden="1"/>
    <col min="5642" max="5885" width="12.28515625" style="5" hidden="1"/>
    <col min="5886" max="5886" width="2.28515625" style="5" hidden="1"/>
    <col min="5887" max="5887" width="40.140625" style="5" hidden="1"/>
    <col min="5888" max="5897" width="13.5703125" style="5" hidden="1"/>
    <col min="5898" max="6141" width="12.28515625" style="5" hidden="1"/>
    <col min="6142" max="6142" width="2.28515625" style="5" hidden="1"/>
    <col min="6143" max="6143" width="40.140625" style="5" hidden="1"/>
    <col min="6144" max="6153" width="13.5703125" style="5" hidden="1"/>
    <col min="6154" max="6397" width="12.28515625" style="5" hidden="1"/>
    <col min="6398" max="6398" width="2.28515625" style="5" hidden="1"/>
    <col min="6399" max="6399" width="40.140625" style="5" hidden="1"/>
    <col min="6400" max="6409" width="13.5703125" style="5" hidden="1"/>
    <col min="6410" max="6653" width="12.28515625" style="5" hidden="1"/>
    <col min="6654" max="6654" width="2.28515625" style="5" hidden="1"/>
    <col min="6655" max="6655" width="40.140625" style="5" hidden="1"/>
    <col min="6656" max="6665" width="13.5703125" style="5" hidden="1"/>
    <col min="6666" max="6909" width="12.28515625" style="5" hidden="1"/>
    <col min="6910" max="6910" width="2.28515625" style="5" hidden="1"/>
    <col min="6911" max="6911" width="40.140625" style="5" hidden="1"/>
    <col min="6912" max="6921" width="13.5703125" style="5" hidden="1"/>
    <col min="6922" max="7165" width="12.28515625" style="5" hidden="1"/>
    <col min="7166" max="7166" width="2.28515625" style="5" hidden="1"/>
    <col min="7167" max="7167" width="40.140625" style="5" hidden="1"/>
    <col min="7168" max="7177" width="13.5703125" style="5" hidden="1"/>
    <col min="7178" max="7421" width="12.28515625" style="5" hidden="1"/>
    <col min="7422" max="7422" width="2.28515625" style="5" hidden="1"/>
    <col min="7423" max="7423" width="40.140625" style="5" hidden="1"/>
    <col min="7424" max="7433" width="13.5703125" style="5" hidden="1"/>
    <col min="7434" max="7677" width="12.28515625" style="5" hidden="1"/>
    <col min="7678" max="7678" width="2.28515625" style="5" hidden="1"/>
    <col min="7679" max="7679" width="40.140625" style="5" hidden="1"/>
    <col min="7680" max="7689" width="13.5703125" style="5" hidden="1"/>
    <col min="7690" max="7933" width="12.28515625" style="5" hidden="1"/>
    <col min="7934" max="7934" width="2.28515625" style="5" hidden="1"/>
    <col min="7935" max="7935" width="40.140625" style="5" hidden="1"/>
    <col min="7936" max="7945" width="13.5703125" style="5" hidden="1"/>
    <col min="7946" max="8189" width="12.28515625" style="5" hidden="1"/>
    <col min="8190" max="8190" width="2.28515625" style="5" hidden="1"/>
    <col min="8191" max="8191" width="40.140625" style="5" hidden="1"/>
    <col min="8192" max="8201" width="13.5703125" style="5" hidden="1"/>
    <col min="8202" max="8445" width="12.28515625" style="5" hidden="1"/>
    <col min="8446" max="8446" width="2.28515625" style="5" hidden="1"/>
    <col min="8447" max="8447" width="40.140625" style="5" hidden="1"/>
    <col min="8448" max="8457" width="13.5703125" style="5" hidden="1"/>
    <col min="8458" max="8701" width="12.28515625" style="5" hidden="1"/>
    <col min="8702" max="8702" width="2.28515625" style="5" hidden="1"/>
    <col min="8703" max="8703" width="40.140625" style="5" hidden="1"/>
    <col min="8704" max="8713" width="13.5703125" style="5" hidden="1"/>
    <col min="8714" max="8957" width="12.28515625" style="5" hidden="1"/>
    <col min="8958" max="8958" width="2.28515625" style="5" hidden="1"/>
    <col min="8959" max="8959" width="40.140625" style="5" hidden="1"/>
    <col min="8960" max="8969" width="13.5703125" style="5" hidden="1"/>
    <col min="8970" max="9213" width="12.28515625" style="5" hidden="1"/>
    <col min="9214" max="9214" width="2.28515625" style="5" hidden="1"/>
    <col min="9215" max="9215" width="40.140625" style="5" hidden="1"/>
    <col min="9216" max="9225" width="13.5703125" style="5" hidden="1"/>
    <col min="9226" max="9469" width="12.28515625" style="5" hidden="1"/>
    <col min="9470" max="9470" width="2.28515625" style="5" hidden="1"/>
    <col min="9471" max="9471" width="40.140625" style="5" hidden="1"/>
    <col min="9472" max="9481" width="13.5703125" style="5" hidden="1"/>
    <col min="9482" max="9725" width="12.28515625" style="5" hidden="1"/>
    <col min="9726" max="9726" width="2.28515625" style="5" hidden="1"/>
    <col min="9727" max="9727" width="40.140625" style="5" hidden="1"/>
    <col min="9728" max="9737" width="13.5703125" style="5" hidden="1"/>
    <col min="9738" max="9981" width="12.28515625" style="5" hidden="1"/>
    <col min="9982" max="9982" width="2.28515625" style="5" hidden="1"/>
    <col min="9983" max="9983" width="40.140625" style="5" hidden="1"/>
    <col min="9984" max="9993" width="13.5703125" style="5" hidden="1"/>
    <col min="9994" max="10237" width="12.28515625" style="5" hidden="1"/>
    <col min="10238" max="10238" width="2.28515625" style="5" hidden="1"/>
    <col min="10239" max="10239" width="40.140625" style="5" hidden="1"/>
    <col min="10240" max="10249" width="13.5703125" style="5" hidden="1"/>
    <col min="10250" max="10493" width="12.28515625" style="5" hidden="1"/>
    <col min="10494" max="10494" width="2.28515625" style="5" hidden="1"/>
    <col min="10495" max="10495" width="40.140625" style="5" hidden="1"/>
    <col min="10496" max="10505" width="13.5703125" style="5" hidden="1"/>
    <col min="10506" max="10749" width="12.28515625" style="5" hidden="1"/>
    <col min="10750" max="10750" width="2.28515625" style="5" hidden="1"/>
    <col min="10751" max="10751" width="40.140625" style="5" hidden="1"/>
    <col min="10752" max="10761" width="13.5703125" style="5" hidden="1"/>
    <col min="10762" max="11005" width="12.28515625" style="5" hidden="1"/>
    <col min="11006" max="11006" width="2.28515625" style="5" hidden="1"/>
    <col min="11007" max="11007" width="40.140625" style="5" hidden="1"/>
    <col min="11008" max="11017" width="13.5703125" style="5" hidden="1"/>
    <col min="11018" max="11261" width="12.28515625" style="5" hidden="1"/>
    <col min="11262" max="11262" width="2.28515625" style="5" hidden="1"/>
    <col min="11263" max="11263" width="40.140625" style="5" hidden="1"/>
    <col min="11264" max="11273" width="13.5703125" style="5" hidden="1"/>
    <col min="11274" max="11517" width="12.28515625" style="5" hidden="1"/>
    <col min="11518" max="11518" width="2.28515625" style="5" hidden="1"/>
    <col min="11519" max="11519" width="40.140625" style="5" hidden="1"/>
    <col min="11520" max="11529" width="13.5703125" style="5" hidden="1"/>
    <col min="11530" max="11773" width="12.28515625" style="5" hidden="1"/>
    <col min="11774" max="11774" width="2.28515625" style="5" hidden="1"/>
    <col min="11775" max="11775" width="40.140625" style="5" hidden="1"/>
    <col min="11776" max="11785" width="13.5703125" style="5" hidden="1"/>
    <col min="11786" max="12029" width="12.28515625" style="5" hidden="1"/>
    <col min="12030" max="12030" width="2.28515625" style="5" hidden="1"/>
    <col min="12031" max="12031" width="40.140625" style="5" hidden="1"/>
    <col min="12032" max="12041" width="13.5703125" style="5" hidden="1"/>
    <col min="12042" max="12285" width="12.28515625" style="5" hidden="1"/>
    <col min="12286" max="12286" width="2.28515625" style="5" hidden="1"/>
    <col min="12287" max="12287" width="40.140625" style="5" hidden="1"/>
    <col min="12288" max="12297" width="13.5703125" style="5" hidden="1"/>
    <col min="12298" max="12541" width="12.28515625" style="5" hidden="1"/>
    <col min="12542" max="12542" width="2.28515625" style="5" hidden="1"/>
    <col min="12543" max="12543" width="40.140625" style="5" hidden="1"/>
    <col min="12544" max="12553" width="13.5703125" style="5" hidden="1"/>
    <col min="12554" max="12797" width="12.28515625" style="5" hidden="1"/>
    <col min="12798" max="12798" width="2.28515625" style="5" hidden="1"/>
    <col min="12799" max="12799" width="40.140625" style="5" hidden="1"/>
    <col min="12800" max="12809" width="13.5703125" style="5" hidden="1"/>
    <col min="12810" max="13053" width="12.28515625" style="5" hidden="1"/>
    <col min="13054" max="13054" width="2.28515625" style="5" hidden="1"/>
    <col min="13055" max="13055" width="40.140625" style="5" hidden="1"/>
    <col min="13056" max="13065" width="13.5703125" style="5" hidden="1"/>
    <col min="13066" max="13309" width="12.28515625" style="5" hidden="1"/>
    <col min="13310" max="13310" width="2.28515625" style="5" hidden="1"/>
    <col min="13311" max="13311" width="40.140625" style="5" hidden="1"/>
    <col min="13312" max="13321" width="13.5703125" style="5" hidden="1"/>
    <col min="13322" max="13565" width="12.28515625" style="5" hidden="1"/>
    <col min="13566" max="13566" width="2.28515625" style="5" hidden="1"/>
    <col min="13567" max="13567" width="40.140625" style="5" hidden="1"/>
    <col min="13568" max="13577" width="13.5703125" style="5" hidden="1"/>
    <col min="13578" max="13821" width="12.28515625" style="5" hidden="1"/>
    <col min="13822" max="13822" width="2.28515625" style="5" hidden="1"/>
    <col min="13823" max="13823" width="40.140625" style="5" hidden="1"/>
    <col min="13824" max="13833" width="13.5703125" style="5" hidden="1"/>
    <col min="13834" max="14077" width="12.28515625" style="5" hidden="1"/>
    <col min="14078" max="14078" width="2.28515625" style="5" hidden="1"/>
    <col min="14079" max="14079" width="40.140625" style="5" hidden="1"/>
    <col min="14080" max="14089" width="13.5703125" style="5" hidden="1"/>
    <col min="14090" max="14333" width="12.28515625" style="5" hidden="1"/>
    <col min="14334" max="14334" width="2.28515625" style="5" hidden="1"/>
    <col min="14335" max="14335" width="40.140625" style="5" hidden="1"/>
    <col min="14336" max="14345" width="13.5703125" style="5" hidden="1"/>
    <col min="14346" max="14589" width="12.28515625" style="5" hidden="1"/>
    <col min="14590" max="14590" width="2.28515625" style="5" hidden="1"/>
    <col min="14591" max="14591" width="40.140625" style="5" hidden="1"/>
    <col min="14592" max="14601" width="13.5703125" style="5" hidden="1"/>
    <col min="14602" max="14845" width="12.28515625" style="5" hidden="1"/>
    <col min="14846" max="14846" width="2.28515625" style="5" hidden="1"/>
    <col min="14847" max="14847" width="40.140625" style="5" hidden="1"/>
    <col min="14848" max="14857" width="13.5703125" style="5" hidden="1"/>
    <col min="14858" max="15101" width="12.28515625" style="5" hidden="1"/>
    <col min="15102" max="15102" width="2.28515625" style="5" hidden="1"/>
    <col min="15103" max="15103" width="40.140625" style="5" hidden="1"/>
    <col min="15104" max="15113" width="13.5703125" style="5" hidden="1"/>
    <col min="15114" max="15357" width="12.28515625" style="5" hidden="1"/>
    <col min="15358" max="15358" width="2.28515625" style="5" hidden="1"/>
    <col min="15359" max="15359" width="40.140625" style="5" hidden="1"/>
    <col min="15360" max="15369" width="13.5703125" style="5" hidden="1"/>
    <col min="15370" max="15613" width="12.28515625" style="5" hidden="1"/>
    <col min="15614" max="15614" width="2.28515625" style="5" hidden="1"/>
    <col min="15615" max="15615" width="40.140625" style="5" hidden="1"/>
    <col min="15616" max="15625" width="13.5703125" style="5" hidden="1"/>
    <col min="15626" max="15869" width="12.28515625" style="5" hidden="1"/>
    <col min="15870" max="15870" width="2.28515625" style="5" hidden="1"/>
    <col min="15871" max="15871" width="40.140625" style="5" hidden="1"/>
    <col min="15872" max="15881" width="13.5703125" style="5" hidden="1"/>
    <col min="15882" max="16125" width="12.28515625" style="5" hidden="1"/>
    <col min="16126" max="16126" width="2.28515625" style="5" hidden="1"/>
    <col min="16127" max="16127" width="40.140625" style="5" hidden="1"/>
    <col min="16128" max="16137" width="13.5703125" style="5" hidden="1"/>
    <col min="16138" max="16384" width="12.28515625" style="5" hidden="1"/>
  </cols>
  <sheetData>
    <row r="1" spans="1:9" s="6" customFormat="1" ht="24" customHeight="1" x14ac:dyDescent="0.15">
      <c r="A1" s="224"/>
      <c r="B1" s="225"/>
      <c r="C1" s="225"/>
      <c r="D1" s="225"/>
      <c r="E1" s="225"/>
      <c r="F1" s="225"/>
      <c r="G1" s="225"/>
      <c r="H1" s="469"/>
      <c r="I1" s="225"/>
    </row>
    <row r="2" spans="1:9" s="6" customFormat="1" ht="22.5" customHeight="1" x14ac:dyDescent="0.15">
      <c r="B2" s="463" t="s">
        <v>229</v>
      </c>
      <c r="C2" s="464"/>
      <c r="D2" s="464"/>
      <c r="E2" s="464"/>
      <c r="F2" s="464"/>
      <c r="G2" s="464"/>
      <c r="H2" s="466"/>
      <c r="I2" s="371"/>
    </row>
    <row r="3" spans="1:9" s="6" customFormat="1" ht="3.75" customHeight="1" x14ac:dyDescent="0.15">
      <c r="B3" s="202"/>
      <c r="C3" s="43"/>
      <c r="D3" s="43"/>
      <c r="E3" s="43"/>
      <c r="F3" s="43"/>
      <c r="G3" s="43"/>
      <c r="H3" s="458"/>
      <c r="I3" s="371"/>
    </row>
    <row r="4" spans="1:9" s="6" customFormat="1" ht="10.5" x14ac:dyDescent="0.15">
      <c r="F4" s="6" t="s">
        <v>318</v>
      </c>
      <c r="G4" s="468">
        <v>1000</v>
      </c>
    </row>
    <row r="5" spans="1:9" s="6" customFormat="1" ht="15.75" customHeight="1" x14ac:dyDescent="0.15">
      <c r="B5" s="394" t="s">
        <v>196</v>
      </c>
      <c r="C5" s="393">
        <f>+Instruções!D$12</f>
        <v>2022</v>
      </c>
      <c r="D5" s="393">
        <f>+Instruções!E$12</f>
        <v>2023</v>
      </c>
      <c r="E5" s="393">
        <f>+Instruções!F$12</f>
        <v>2024</v>
      </c>
      <c r="F5" s="393">
        <f>+Instruções!G$12</f>
        <v>2025</v>
      </c>
      <c r="G5" s="393">
        <f>+Instruções!H$12</f>
        <v>2026</v>
      </c>
      <c r="H5" s="380"/>
      <c r="I5" s="372"/>
    </row>
    <row r="6" spans="1:9" s="377" customFormat="1" ht="3" customHeight="1" x14ac:dyDescent="0.15">
      <c r="B6" s="473"/>
      <c r="C6" s="474"/>
      <c r="D6" s="474"/>
      <c r="E6" s="474"/>
      <c r="F6" s="474"/>
      <c r="G6" s="474"/>
      <c r="H6" s="380"/>
      <c r="I6" s="381"/>
    </row>
    <row r="7" spans="1:9" s="6" customFormat="1" ht="12" customHeight="1" x14ac:dyDescent="0.15">
      <c r="B7" s="475" t="s">
        <v>281</v>
      </c>
      <c r="C7" s="101" t="str">
        <f>IF(+Ativo_2022/$G$4=0,"",+Ativo_2022/$G$4)</f>
        <v/>
      </c>
      <c r="D7" s="101" t="str">
        <f>IF(+Ativo_2023/$G$4=0,"",+Ativo_2023/$G$4)</f>
        <v/>
      </c>
      <c r="E7" s="101" t="str">
        <f>IF(+Ativo_2024/$G$4=0,"",+Ativo_2024/$G$4)</f>
        <v/>
      </c>
      <c r="F7" s="101" t="str">
        <f>IF(+Ativo_2025/$G$4=0,"",+Ativo_2025/$G$4)</f>
        <v/>
      </c>
      <c r="G7" s="476" t="str">
        <f>IF(+Ativo_2026/$G$4=0,"",+Ativo_2026/$G$4)</f>
        <v/>
      </c>
      <c r="H7" s="442"/>
      <c r="I7" s="372"/>
    </row>
    <row r="8" spans="1:9" s="6" customFormat="1" ht="12" customHeight="1" x14ac:dyDescent="0.15">
      <c r="B8" s="366" t="s">
        <v>282</v>
      </c>
      <c r="C8" s="101" t="str">
        <f>IF(+Ativo_Não_Corrente_2022/$G$4=0,"",+Ativo_Não_Corrente_2022/$G$4)</f>
        <v/>
      </c>
      <c r="D8" s="101" t="str">
        <f>IF(+Ativo_Não_Corrente_2023/$G$4=0,"",+Ativo_Não_Corrente_2023/$G$4)</f>
        <v/>
      </c>
      <c r="E8" s="101" t="str">
        <f>IF(+Ativo_Não_Corrente_2024/$G$4=0,"",+Ativo_Não_Corrente_2024/$G$4)</f>
        <v/>
      </c>
      <c r="F8" s="101" t="str">
        <f>IF(+Ativo_Não_Corrente_2025/$G$4=0,"",+Ativo_Não_Corrente_2025/$G$4)</f>
        <v/>
      </c>
      <c r="G8" s="476" t="str">
        <f>IF(+Ativo_Não_Corrente_2026/$G$4=0,"",+Ativo_Não_Corrente_2026/$G$4)</f>
        <v/>
      </c>
      <c r="H8" s="442"/>
      <c r="I8" s="372"/>
    </row>
    <row r="9" spans="1:9" s="6" customFormat="1" ht="12" customHeight="1" x14ac:dyDescent="0.15">
      <c r="B9" s="366" t="s">
        <v>283</v>
      </c>
      <c r="C9" s="101" t="str">
        <f>IF(+Ativo_Corrente_2022/$G$4=0,"",+Ativo_Corrente_2022/$G$4)</f>
        <v/>
      </c>
      <c r="D9" s="101" t="str">
        <f>IF(+Ativo_Corrente_2023/$G$4=0,"",+Ativo_Corrente_2023/$G$4)</f>
        <v/>
      </c>
      <c r="E9" s="101" t="str">
        <f>IF(+Ativo_Corrente_2024/$G$4=0,"",+Ativo_Corrente_2024/$G$4)</f>
        <v/>
      </c>
      <c r="F9" s="101" t="str">
        <f>IF(+Ativo_Corrente_2025/$G$4=0,"",+Ativo_Corrente_2025/$G$4)</f>
        <v/>
      </c>
      <c r="G9" s="476" t="str">
        <f>IF(+Ativo_Corrente_2026/$G$4=0,"",+Ativo_Corrente_2026/$G$4)</f>
        <v/>
      </c>
      <c r="H9" s="442"/>
      <c r="I9" s="372"/>
    </row>
    <row r="10" spans="1:9" s="377" customFormat="1" ht="3.75" customHeight="1" x14ac:dyDescent="0.15">
      <c r="B10" s="429"/>
      <c r="C10" s="477"/>
      <c r="D10" s="477"/>
      <c r="E10" s="477"/>
      <c r="F10" s="477"/>
      <c r="G10" s="478"/>
      <c r="H10" s="442"/>
      <c r="I10" s="381"/>
    </row>
    <row r="11" spans="1:9" s="6" customFormat="1" ht="12" customHeight="1" x14ac:dyDescent="0.15">
      <c r="B11" s="21" t="s">
        <v>284</v>
      </c>
      <c r="C11" s="101" t="str">
        <f>IF(+Patrimonio_Liquido_2022/$G$4=0,"",+Patrimonio_Liquido_2022/$G$4)</f>
        <v/>
      </c>
      <c r="D11" s="101" t="str">
        <f>IF(+Patrimonio_Liquido_2023/$G$4=0,"",+Patrimonio_Liquido_2023/$G$4)</f>
        <v/>
      </c>
      <c r="E11" s="101" t="str">
        <f>IF(+Patrimonio_Liquido_2024/$G$4=0,"",+Patrimonio_Liquido_2024/$G$4)</f>
        <v/>
      </c>
      <c r="F11" s="101" t="str">
        <f>IF(+Patrimonio_Liquido_2025/$G$4=0,"",+Patrimonio_Liquido_2025/$G$4)</f>
        <v/>
      </c>
      <c r="G11" s="476" t="str">
        <f>IF(+Patrimonio_Liquido_2026/$G$4=0,"",+Patrimonio_Liquido_2026/$G$4)</f>
        <v/>
      </c>
      <c r="H11" s="442"/>
      <c r="I11" s="372"/>
    </row>
    <row r="12" spans="1:9" s="6" customFormat="1" ht="12" customHeight="1" x14ac:dyDescent="0.15">
      <c r="B12" s="366" t="s">
        <v>285</v>
      </c>
      <c r="C12" s="101" t="str">
        <f>IF(+BAL!D$48/$G$4=0,"",+BAL!D$48/$G$4)</f>
        <v/>
      </c>
      <c r="D12" s="101" t="str">
        <f>IF(+BAL!F$48/$G$4=0,"",+BAL!F$48/$G$4)</f>
        <v/>
      </c>
      <c r="E12" s="101" t="str">
        <f>IF(+BAL!K$48/$G$4=0,"",+BAL!K$48/$G$4)</f>
        <v/>
      </c>
      <c r="F12" s="101" t="str">
        <f>IF(+BAL!L$48/$G$4=0,"",+BAL!L$48/$G$4)</f>
        <v/>
      </c>
      <c r="G12" s="476" t="str">
        <f>IF(+BAL!M$48/$G$4=0,"",+BAL!M$48/$G$4)</f>
        <v/>
      </c>
      <c r="H12" s="442"/>
      <c r="I12" s="372"/>
    </row>
    <row r="13" spans="1:9" s="6" customFormat="1" ht="12" customHeight="1" x14ac:dyDescent="0.15">
      <c r="B13" s="21" t="s">
        <v>286</v>
      </c>
      <c r="C13" s="101" t="str">
        <f>IF(+Passivo_2022/$G$4=0,"",+Passivo_2022/$G$4)</f>
        <v/>
      </c>
      <c r="D13" s="101" t="str">
        <f>IF(+Passivo_2023/$G$4=0,"",+Passivo_2023/$G$4)</f>
        <v/>
      </c>
      <c r="E13" s="101" t="str">
        <f>IF(+Passivo_2024/$G$4=0,"",+Passivo_2024/$G$4)</f>
        <v/>
      </c>
      <c r="F13" s="101" t="str">
        <f>IF(+Passivo_2025/$G$4=0,"",+Passivo_2025/$G$4)</f>
        <v/>
      </c>
      <c r="G13" s="476" t="str">
        <f>IF(+Passivo_2026/$G$4=0,"",+Passivo_2026/$G$4)</f>
        <v/>
      </c>
      <c r="H13" s="442"/>
      <c r="I13" s="372"/>
    </row>
    <row r="14" spans="1:9" s="6" customFormat="1" ht="12" customHeight="1" x14ac:dyDescent="0.15">
      <c r="B14" s="366" t="s">
        <v>282</v>
      </c>
      <c r="C14" s="101" t="str">
        <f>IF(+Passivo_Não_Corrente_2022/$G$4=0,"",+Passivo_Não_Corrente_2022/$G$4)</f>
        <v/>
      </c>
      <c r="D14" s="101" t="str">
        <f>IF(+Passivo_Não_Corrente_2023/$G$4=0,"",+Passivo_Não_Corrente_2022/$G$4)</f>
        <v/>
      </c>
      <c r="E14" s="101" t="str">
        <f>IF(+Passivo_Não_Corrente_2024/$G$4=0,"",+Passivo_Não_Corrente_2024/$G$4)</f>
        <v/>
      </c>
      <c r="F14" s="101" t="str">
        <f>IF(+Passivo_Não_Corrente_2025/$G$4=0,"",+Passivo_Não_Corrente_2025/$G$4)</f>
        <v/>
      </c>
      <c r="G14" s="476" t="str">
        <f>IF(+Passivo_Não_Corrente_2026/$G$4=0,"",+Passivo_Não_Corrente_2026/$G$4)</f>
        <v/>
      </c>
      <c r="H14" s="380"/>
      <c r="I14" s="372"/>
    </row>
    <row r="15" spans="1:9" s="6" customFormat="1" ht="12" customHeight="1" x14ac:dyDescent="0.15">
      <c r="B15" s="366" t="s">
        <v>283</v>
      </c>
      <c r="C15" s="101" t="str">
        <f>IF(+Passivo_Corrente_2022/$G$4=0,"",+Passivo_Corrente_2022/$G$4)</f>
        <v/>
      </c>
      <c r="D15" s="101" t="str">
        <f>IF(+Passivo_Corrente_2023/$G$4=0,"",+Passivo_Corrente_2023/$G$4)</f>
        <v/>
      </c>
      <c r="E15" s="101" t="str">
        <f>IF(+Passivo_Corrente_2024/$G$4=0,"",+Passivo_Corrente_2024/$G$4)</f>
        <v/>
      </c>
      <c r="F15" s="101" t="str">
        <f>IF(+Passivo_Corrente_2025/$G$4=0,"",+Passivo_Corrente_2025/$G$4)</f>
        <v/>
      </c>
      <c r="G15" s="476" t="str">
        <f>IF(+Passivo_Corrente_2026/$G$4=0,"",+Passivo_Corrente_2026/$G$4)</f>
        <v/>
      </c>
      <c r="H15" s="380"/>
      <c r="I15" s="372"/>
    </row>
    <row r="16" spans="1:9" s="377" customFormat="1" ht="10.5" x14ac:dyDescent="0.15">
      <c r="B16" s="378"/>
      <c r="C16" s="379"/>
      <c r="D16" s="379"/>
      <c r="E16" s="379"/>
      <c r="F16" s="379"/>
      <c r="G16" s="379"/>
      <c r="H16" s="380"/>
      <c r="I16" s="381"/>
    </row>
    <row r="17" spans="1:9" s="6" customFormat="1" ht="15.75" customHeight="1" x14ac:dyDescent="0.15">
      <c r="B17" s="394" t="s">
        <v>306</v>
      </c>
      <c r="C17" s="393">
        <f>+Instruções!D$12</f>
        <v>2022</v>
      </c>
      <c r="D17" s="393">
        <f>+Instruções!E$12</f>
        <v>2023</v>
      </c>
      <c r="E17" s="393">
        <f>+Instruções!F$12</f>
        <v>2024</v>
      </c>
      <c r="F17" s="393">
        <f>+Instruções!G$12</f>
        <v>2025</v>
      </c>
      <c r="G17" s="393">
        <f>+Instruções!H$12</f>
        <v>2026</v>
      </c>
      <c r="H17" s="380"/>
      <c r="I17" s="372"/>
    </row>
    <row r="18" spans="1:9" s="377" customFormat="1" ht="3" customHeight="1" x14ac:dyDescent="0.15">
      <c r="B18" s="473"/>
      <c r="C18" s="474"/>
      <c r="D18" s="474"/>
      <c r="E18" s="474"/>
      <c r="F18" s="474"/>
      <c r="G18" s="474"/>
      <c r="H18" s="380"/>
      <c r="I18" s="381"/>
    </row>
    <row r="19" spans="1:9" s="6" customFormat="1" ht="12" customHeight="1" x14ac:dyDescent="0.15">
      <c r="B19" s="475" t="s">
        <v>304</v>
      </c>
      <c r="C19" s="479" t="str">
        <f>IFERROR('Eficiência operacional'!C18/$G$4,"")</f>
        <v/>
      </c>
      <c r="D19" s="479" t="str">
        <f>IFERROR('Eficiência operacional'!E18/$G$4,"")</f>
        <v/>
      </c>
      <c r="E19" s="479" t="str">
        <f>IFERROR('Eficiência operacional'!F18/$G$4,"")</f>
        <v/>
      </c>
      <c r="F19" s="479" t="str">
        <f>IFERROR('Eficiência operacional'!G18/$G$4,"")</f>
        <v/>
      </c>
      <c r="G19" s="480" t="str">
        <f>IFERROR('Eficiência operacional'!H18/$G$4,"")</f>
        <v/>
      </c>
      <c r="H19" s="380"/>
      <c r="I19" s="372"/>
    </row>
    <row r="20" spans="1:9" s="377" customFormat="1" ht="12" customHeight="1" x14ac:dyDescent="0.15">
      <c r="B20" s="431" t="s">
        <v>309</v>
      </c>
      <c r="C20" s="432" t="str">
        <f>+IFERROR(C19/B19-1,"")</f>
        <v/>
      </c>
      <c r="D20" s="432" t="str">
        <f>+IFERROR(D19/C19-1,"")</f>
        <v/>
      </c>
      <c r="E20" s="432" t="str">
        <f t="shared" ref="E20:G20" si="0">+IFERROR(E19/D19-1,"")</f>
        <v/>
      </c>
      <c r="F20" s="432" t="str">
        <f t="shared" si="0"/>
        <v/>
      </c>
      <c r="G20" s="467" t="str">
        <f t="shared" si="0"/>
        <v/>
      </c>
      <c r="H20" s="380"/>
      <c r="I20" s="381"/>
    </row>
    <row r="21" spans="1:9" s="6" customFormat="1" ht="12" customHeight="1" x14ac:dyDescent="0.15">
      <c r="B21" s="21" t="s">
        <v>305</v>
      </c>
      <c r="C21" s="101" t="str">
        <f>IFERROR('Eficiência operacional'!C7/$G$4,"")</f>
        <v/>
      </c>
      <c r="D21" s="101" t="str">
        <f>IFERROR('Eficiência operacional'!E7/$G$4,"")</f>
        <v/>
      </c>
      <c r="E21" s="101" t="str">
        <f>IFERROR('Eficiência operacional'!F7/$G$4,"")</f>
        <v/>
      </c>
      <c r="F21" s="101" t="str">
        <f>IFERROR('Eficiência operacional'!G7/$G$4,"")</f>
        <v/>
      </c>
      <c r="G21" s="476" t="str">
        <f>IFERROR('Eficiência operacional'!H7/$G$4,"")</f>
        <v/>
      </c>
      <c r="H21" s="380"/>
      <c r="I21" s="372"/>
    </row>
    <row r="22" spans="1:9" s="6" customFormat="1" ht="12" customHeight="1" x14ac:dyDescent="0.15">
      <c r="B22" s="431" t="s">
        <v>309</v>
      </c>
      <c r="C22" s="432" t="str">
        <f>+IFERROR(C21/B21-1,"")</f>
        <v/>
      </c>
      <c r="D22" s="432" t="str">
        <f>+IFERROR(D21/C21-1,"")</f>
        <v/>
      </c>
      <c r="E22" s="432" t="str">
        <f t="shared" ref="E22" si="1">+IFERROR(E21/D21-1,"")</f>
        <v/>
      </c>
      <c r="F22" s="432" t="str">
        <f t="shared" ref="F22" si="2">+IFERROR(F21/E21-1,"")</f>
        <v/>
      </c>
      <c r="G22" s="467" t="str">
        <f t="shared" ref="G22" si="3">+IFERROR(G21/F21-1,"")</f>
        <v/>
      </c>
      <c r="H22" s="380"/>
      <c r="I22" s="372"/>
    </row>
    <row r="23" spans="1:9" s="6" customFormat="1" ht="12" customHeight="1" x14ac:dyDescent="0.15">
      <c r="B23" s="21" t="s">
        <v>8</v>
      </c>
      <c r="C23" s="101" t="str">
        <f>IFERROR('Eficiência operacional'!C6/$G$4,"")</f>
        <v/>
      </c>
      <c r="D23" s="101" t="str">
        <f>IFERROR('Eficiência operacional'!E6/$G$4,"")</f>
        <v/>
      </c>
      <c r="E23" s="101" t="str">
        <f>IFERROR('Eficiência operacional'!F6/$G$4,"")</f>
        <v/>
      </c>
      <c r="F23" s="101" t="str">
        <f>IFERROR('Eficiência operacional'!G6/$G$4,"")</f>
        <v/>
      </c>
      <c r="G23" s="476" t="str">
        <f>IFERROR('Eficiência operacional'!H6/$G$4,"")</f>
        <v/>
      </c>
      <c r="H23" s="380"/>
      <c r="I23" s="372"/>
    </row>
    <row r="24" spans="1:9" s="6" customFormat="1" ht="12" customHeight="1" x14ac:dyDescent="0.15">
      <c r="B24" s="431" t="s">
        <v>309</v>
      </c>
      <c r="C24" s="432" t="str">
        <f>+IFERROR(C23/B23-1,"")</f>
        <v/>
      </c>
      <c r="D24" s="432" t="str">
        <f>+IFERROR(D23/C23-1,"")</f>
        <v/>
      </c>
      <c r="E24" s="432" t="str">
        <f t="shared" ref="E24" si="4">+IFERROR(E23/D23-1,"")</f>
        <v/>
      </c>
      <c r="F24" s="432" t="str">
        <f t="shared" ref="F24" si="5">+IFERROR(F23/E23-1,"")</f>
        <v/>
      </c>
      <c r="G24" s="467" t="str">
        <f t="shared" ref="G24" si="6">+IFERROR(G23/F23-1,"")</f>
        <v/>
      </c>
      <c r="H24" s="380"/>
      <c r="I24" s="372"/>
    </row>
    <row r="25" spans="1:9" s="6" customFormat="1" ht="12" customHeight="1" x14ac:dyDescent="0.15">
      <c r="B25" s="21" t="s">
        <v>287</v>
      </c>
      <c r="C25" s="101" t="str">
        <f>IFERROR(EBITDA_2022/$G$4,"")</f>
        <v/>
      </c>
      <c r="D25" s="101" t="str">
        <f>IFERROR(EBITDA_2023/$G$4,"")</f>
        <v/>
      </c>
      <c r="E25" s="101" t="str">
        <f>IFERROR(EBITDA_2024/$G$4,"")</f>
        <v/>
      </c>
      <c r="F25" s="101" t="str">
        <f>IFERROR(EBITDA_2025/$G$4,"")</f>
        <v/>
      </c>
      <c r="G25" s="476" t="str">
        <f>IFERROR(EBITDA_2026/$G$4,"")</f>
        <v/>
      </c>
      <c r="H25" s="380"/>
      <c r="I25" s="372"/>
    </row>
    <row r="26" spans="1:9" s="6" customFormat="1" ht="12" customHeight="1" x14ac:dyDescent="0.15">
      <c r="B26" s="431" t="s">
        <v>309</v>
      </c>
      <c r="C26" s="432" t="str">
        <f>+IFERROR(C25/B25-1,"")</f>
        <v/>
      </c>
      <c r="D26" s="432" t="str">
        <f>+IFERROR(D25/C25-1,"")</f>
        <v/>
      </c>
      <c r="E26" s="432" t="str">
        <f t="shared" ref="E26" si="7">+IFERROR(E25/D25-1,"")</f>
        <v/>
      </c>
      <c r="F26" s="432" t="str">
        <f t="shared" ref="F26" si="8">+IFERROR(F25/E25-1,"")</f>
        <v/>
      </c>
      <c r="G26" s="467" t="str">
        <f t="shared" ref="G26" si="9">+IFERROR(G25/F25-1,"")</f>
        <v/>
      </c>
      <c r="H26" s="380"/>
      <c r="I26" s="372"/>
    </row>
    <row r="27" spans="1:9" s="6" customFormat="1" ht="12" customHeight="1" x14ac:dyDescent="0.15">
      <c r="B27" s="21" t="s">
        <v>288</v>
      </c>
      <c r="C27" s="101" t="str">
        <f>IFERROR(RO_2022/$G$4,"")</f>
        <v/>
      </c>
      <c r="D27" s="101" t="str">
        <f>IFERROR(RO_2023/$G$4,"")</f>
        <v/>
      </c>
      <c r="E27" s="101" t="str">
        <f>IFERROR(RO_2024/$G$4,"")</f>
        <v/>
      </c>
      <c r="F27" s="101" t="str">
        <f>IFERROR(RO_2025/$G$4,"")</f>
        <v/>
      </c>
      <c r="G27" s="476" t="str">
        <f>IFERROR(RO_2026/$G$4,"")</f>
        <v/>
      </c>
      <c r="H27" s="380"/>
      <c r="I27" s="372"/>
    </row>
    <row r="28" spans="1:9" s="6" customFormat="1" ht="12" customHeight="1" x14ac:dyDescent="0.15">
      <c r="B28" s="431" t="s">
        <v>309</v>
      </c>
      <c r="C28" s="432" t="str">
        <f>+IFERROR(C27/B27-1,"")</f>
        <v/>
      </c>
      <c r="D28" s="432" t="str">
        <f>+IFERROR(D27/C27-1,"")</f>
        <v/>
      </c>
      <c r="E28" s="432" t="str">
        <f t="shared" ref="E28" si="10">+IFERROR(E27/D27-1,"")</f>
        <v/>
      </c>
      <c r="F28" s="432" t="str">
        <f t="shared" ref="F28" si="11">+IFERROR(F27/E27-1,"")</f>
        <v/>
      </c>
      <c r="G28" s="467" t="str">
        <f t="shared" ref="G28" si="12">+IFERROR(G27/F27-1,"")</f>
        <v/>
      </c>
      <c r="H28" s="380"/>
      <c r="I28" s="372"/>
    </row>
    <row r="29" spans="1:9" s="6" customFormat="1" ht="12" customHeight="1" x14ac:dyDescent="0.15">
      <c r="B29" s="21" t="s">
        <v>303</v>
      </c>
      <c r="C29" s="101" t="str">
        <f>IF(IFERROR(RL_2022/$G$4,"")=0,"",IFERROR(RL_2022/$G$4,""))</f>
        <v/>
      </c>
      <c r="D29" s="101" t="str">
        <f>IF(IFERROR(RL_2023/$G$4,"")=0,"",IFERROR(RL_2023/$G$4,""))</f>
        <v/>
      </c>
      <c r="E29" s="101" t="str">
        <f>IF(IFERROR(RL_2024/$G$4,"")=0,"",IFERROR(RL_2024/$G$4,""))</f>
        <v/>
      </c>
      <c r="F29" s="101" t="str">
        <f>IF(IFERROR(RL_2025/$G$4,"")=0,"",IFERROR(RL_2025/$G$4,""))</f>
        <v/>
      </c>
      <c r="G29" s="476" t="str">
        <f>IF(IFERROR(RL_2026/$G$4,"")=0,"",IFERROR(RL_2026/$G$4,""))</f>
        <v/>
      </c>
      <c r="H29" s="380"/>
      <c r="I29" s="372"/>
    </row>
    <row r="30" spans="1:9" s="6" customFormat="1" ht="12" customHeight="1" x14ac:dyDescent="0.15">
      <c r="B30" s="431" t="s">
        <v>309</v>
      </c>
      <c r="C30" s="432" t="str">
        <f>+IFERROR(C29/B29-1,"")</f>
        <v/>
      </c>
      <c r="D30" s="432" t="str">
        <f>+IFERROR(D29/C29-1,"")</f>
        <v/>
      </c>
      <c r="E30" s="432" t="str">
        <f t="shared" ref="E30" si="13">+IFERROR(E29/D29-1,"")</f>
        <v/>
      </c>
      <c r="F30" s="432" t="str">
        <f t="shared" ref="F30" si="14">+IFERROR(F29/E29-1,"")</f>
        <v/>
      </c>
      <c r="G30" s="467" t="str">
        <f t="shared" ref="G30" si="15">+IFERROR(G29/F29-1,"")</f>
        <v/>
      </c>
      <c r="H30" s="380"/>
      <c r="I30" s="372"/>
    </row>
    <row r="31" spans="1:9" s="6" customFormat="1" ht="11.25" x14ac:dyDescent="0.2">
      <c r="A31" s="186"/>
      <c r="B31" s="186"/>
      <c r="C31" s="359"/>
      <c r="D31" s="359"/>
      <c r="E31" s="359"/>
      <c r="F31" s="359"/>
      <c r="G31" s="359"/>
      <c r="H31" s="380"/>
      <c r="I31" s="372"/>
    </row>
    <row r="32" spans="1:9" s="6" customFormat="1" ht="15.75" customHeight="1" x14ac:dyDescent="0.15">
      <c r="B32" s="394" t="s">
        <v>150</v>
      </c>
      <c r="C32" s="393"/>
      <c r="D32" s="393">
        <f>+Instruções!E$12</f>
        <v>2023</v>
      </c>
      <c r="E32" s="393">
        <f>+Instruções!F$12</f>
        <v>2024</v>
      </c>
      <c r="F32" s="393">
        <f>+Instruções!G$12</f>
        <v>2025</v>
      </c>
      <c r="G32" s="393">
        <f>+Instruções!H$12</f>
        <v>2026</v>
      </c>
      <c r="H32" s="380"/>
      <c r="I32" s="372"/>
    </row>
    <row r="33" spans="1:9" s="377" customFormat="1" ht="3" customHeight="1" x14ac:dyDescent="0.15">
      <c r="B33" s="473"/>
      <c r="C33" s="474"/>
      <c r="D33" s="474"/>
      <c r="E33" s="474"/>
      <c r="F33" s="474"/>
      <c r="G33" s="474"/>
      <c r="H33" s="380"/>
      <c r="I33" s="381"/>
    </row>
    <row r="34" spans="1:9" s="6" customFormat="1" ht="10.5" x14ac:dyDescent="0.15">
      <c r="A34" s="186"/>
      <c r="B34" s="21" t="s">
        <v>293</v>
      </c>
      <c r="C34" s="593"/>
      <c r="D34" s="593" t="str">
        <f>+IFERROR(E_Oper_2023,"")</f>
        <v/>
      </c>
      <c r="E34" s="593" t="str">
        <f>+IFERROR(E_Oper_2024,"")</f>
        <v/>
      </c>
      <c r="F34" s="593" t="str">
        <f>+IFERROR(E_Oper_2025,"")</f>
        <v/>
      </c>
      <c r="G34" s="594" t="str">
        <f>+IFERROR(E_Oper_2026,"")</f>
        <v/>
      </c>
      <c r="H34" s="380"/>
      <c r="I34" s="372"/>
    </row>
    <row r="35" spans="1:9" s="6" customFormat="1" ht="10.5" x14ac:dyDescent="0.15">
      <c r="A35" s="186"/>
      <c r="B35" s="21" t="s">
        <v>368</v>
      </c>
      <c r="C35" s="593"/>
      <c r="D35" s="596" t="str">
        <f>+IFERROR('Eficiência operacional'!E55,"")</f>
        <v/>
      </c>
      <c r="E35" s="596" t="str">
        <f>+IFERROR('Eficiência operacional'!F55,"")</f>
        <v/>
      </c>
      <c r="F35" s="596" t="str">
        <f>+IFERROR('Eficiência operacional'!G55,"")</f>
        <v/>
      </c>
      <c r="G35" s="596" t="str">
        <f>+IFERROR('Eficiência operacional'!H55,"")</f>
        <v/>
      </c>
      <c r="H35" s="380"/>
      <c r="I35" s="372"/>
    </row>
    <row r="36" spans="1:9" s="6" customFormat="1" ht="11.25" x14ac:dyDescent="0.2">
      <c r="A36" s="186"/>
      <c r="B36" s="186"/>
      <c r="C36" s="481"/>
      <c r="D36" s="481"/>
      <c r="E36" s="481"/>
      <c r="F36" s="481"/>
      <c r="G36" s="481"/>
      <c r="H36" s="380"/>
      <c r="I36" s="372"/>
    </row>
    <row r="37" spans="1:9" ht="18" x14ac:dyDescent="0.2">
      <c r="A37" s="219"/>
      <c r="B37" s="465" t="s">
        <v>261</v>
      </c>
      <c r="C37" s="465"/>
      <c r="D37" s="465"/>
      <c r="E37" s="465"/>
      <c r="F37" s="465"/>
      <c r="G37" s="465"/>
      <c r="H37" s="466"/>
      <c r="I37" s="219"/>
    </row>
    <row r="38" spans="1:9" x14ac:dyDescent="0.2">
      <c r="A38" s="219"/>
      <c r="B38" s="207"/>
      <c r="C38" s="207"/>
      <c r="D38" s="207"/>
      <c r="E38" s="207"/>
      <c r="F38" s="207"/>
      <c r="G38" s="207"/>
      <c r="H38" s="442"/>
      <c r="I38" s="219"/>
    </row>
    <row r="39" spans="1:9" ht="24" customHeight="1" x14ac:dyDescent="0.2">
      <c r="A39" s="219"/>
      <c r="B39" s="373" t="s">
        <v>0</v>
      </c>
      <c r="C39" s="355" t="s">
        <v>260</v>
      </c>
      <c r="D39" s="355" t="s">
        <v>259</v>
      </c>
      <c r="E39" s="510" t="s">
        <v>362</v>
      </c>
      <c r="F39" s="354"/>
      <c r="G39" s="354"/>
      <c r="H39" s="459"/>
      <c r="I39" s="219"/>
    </row>
    <row r="40" spans="1:9" x14ac:dyDescent="0.2">
      <c r="A40" s="219"/>
      <c r="B40" s="374" t="s">
        <v>9</v>
      </c>
      <c r="C40" s="356"/>
      <c r="D40" s="356"/>
      <c r="E40" s="192" t="str">
        <f>IF(D40="","",IF(D40&gt;=C40,1,IF(D40&lt;C40,-1,0)))</f>
        <v/>
      </c>
      <c r="F40" s="207"/>
      <c r="G40" s="207"/>
      <c r="H40" s="442"/>
      <c r="I40" s="219"/>
    </row>
    <row r="41" spans="1:9" x14ac:dyDescent="0.2">
      <c r="A41" s="219"/>
      <c r="B41" s="374" t="s">
        <v>121</v>
      </c>
      <c r="C41" s="356"/>
      <c r="D41" s="356"/>
      <c r="E41" s="192" t="str">
        <f>IF(D41="","",IF(D41&gt;=C41,1,IF(D41&lt;C41,-1,0)))</f>
        <v/>
      </c>
      <c r="F41" s="219"/>
      <c r="G41" s="219"/>
      <c r="H41" s="460"/>
      <c r="I41" s="219"/>
    </row>
    <row r="42" spans="1:9" x14ac:dyDescent="0.2">
      <c r="A42" s="219"/>
      <c r="B42" s="374" t="s">
        <v>257</v>
      </c>
      <c r="C42" s="356"/>
      <c r="D42" s="356"/>
      <c r="E42" s="192" t="str">
        <f>IF(D42="","",IF(D42&gt;=C42,1,IF(D42&lt;C42,-1,0)))</f>
        <v/>
      </c>
      <c r="F42" s="219"/>
      <c r="G42" s="219"/>
      <c r="H42" s="460"/>
      <c r="I42" s="219"/>
    </row>
    <row r="43" spans="1:9" x14ac:dyDescent="0.2">
      <c r="A43" s="219"/>
      <c r="B43" s="375" t="s">
        <v>258</v>
      </c>
      <c r="C43" s="357"/>
      <c r="D43" s="357"/>
      <c r="E43" s="192" t="str">
        <f>IF(D43="","",IF(D43&gt;=C43,1,IF(D43&lt;C43,-1,0)))</f>
        <v/>
      </c>
      <c r="F43" s="219"/>
      <c r="G43" s="219"/>
      <c r="H43" s="460"/>
      <c r="I43" s="219"/>
    </row>
    <row r="44" spans="1:9" x14ac:dyDescent="0.2">
      <c r="A44" s="219"/>
      <c r="B44" s="358"/>
      <c r="C44" s="358"/>
      <c r="D44" s="358"/>
      <c r="E44" s="219"/>
      <c r="F44" s="219"/>
      <c r="G44" s="219"/>
      <c r="H44" s="460"/>
      <c r="I44" s="219"/>
    </row>
    <row r="45" spans="1:9" x14ac:dyDescent="0.2">
      <c r="A45" s="219"/>
      <c r="B45" s="358"/>
      <c r="C45" s="358"/>
      <c r="D45" s="358"/>
      <c r="E45" s="219"/>
      <c r="F45" s="219"/>
      <c r="G45" s="219"/>
      <c r="H45" s="460"/>
      <c r="I45" s="219"/>
    </row>
    <row r="46" spans="1:9" x14ac:dyDescent="0.2">
      <c r="A46" s="219"/>
      <c r="B46" s="219"/>
      <c r="C46" s="219"/>
      <c r="D46" s="219"/>
      <c r="E46" s="219"/>
      <c r="F46" s="219"/>
      <c r="G46" s="219"/>
      <c r="H46" s="460"/>
      <c r="I46" s="219"/>
    </row>
    <row r="47" spans="1:9" ht="18" x14ac:dyDescent="0.2">
      <c r="A47" s="219"/>
      <c r="B47" s="464" t="s">
        <v>195</v>
      </c>
      <c r="C47" s="464"/>
      <c r="D47" s="464"/>
      <c r="E47" s="464"/>
      <c r="F47" s="464"/>
      <c r="G47" s="464"/>
      <c r="H47" s="466"/>
      <c r="I47" s="219"/>
    </row>
    <row r="48" spans="1:9" x14ac:dyDescent="0.2">
      <c r="A48" s="219"/>
      <c r="B48" s="219"/>
      <c r="C48" s="219"/>
      <c r="D48" s="219"/>
      <c r="E48" s="219"/>
      <c r="F48" s="219"/>
      <c r="G48" s="219"/>
      <c r="H48" s="460"/>
      <c r="I48" s="219"/>
    </row>
    <row r="49" spans="1:9" s="361" customFormat="1" x14ac:dyDescent="0.2">
      <c r="A49" s="358"/>
      <c r="B49" s="358"/>
      <c r="C49" s="358"/>
      <c r="D49" s="358"/>
      <c r="E49" s="358"/>
      <c r="F49" s="358"/>
      <c r="G49" s="358"/>
      <c r="H49" s="461"/>
      <c r="I49" s="358"/>
    </row>
    <row r="50" spans="1:9" s="361" customFormat="1" x14ac:dyDescent="0.2">
      <c r="A50" s="358"/>
      <c r="B50" s="376" t="s">
        <v>262</v>
      </c>
      <c r="C50" s="358"/>
      <c r="D50" s="358"/>
      <c r="E50" s="358"/>
      <c r="F50" s="358"/>
      <c r="G50" s="358"/>
      <c r="H50" s="461"/>
      <c r="I50" s="358"/>
    </row>
    <row r="51" spans="1:9" s="361" customFormat="1" ht="2.25" customHeight="1" x14ac:dyDescent="0.2">
      <c r="A51" s="358"/>
      <c r="D51" s="358"/>
      <c r="E51" s="358"/>
      <c r="F51" s="358"/>
      <c r="G51" s="358"/>
      <c r="H51" s="461"/>
      <c r="I51" s="358"/>
    </row>
    <row r="52" spans="1:9" s="361" customFormat="1" x14ac:dyDescent="0.2">
      <c r="A52" s="358"/>
      <c r="B52" s="394"/>
      <c r="C52" s="393" t="s">
        <v>263</v>
      </c>
      <c r="D52" s="358"/>
      <c r="E52" s="358"/>
      <c r="F52" s="358"/>
      <c r="G52" s="358"/>
      <c r="H52" s="461"/>
      <c r="I52" s="358"/>
    </row>
    <row r="53" spans="1:9" s="361" customFormat="1" ht="18.75" customHeight="1" x14ac:dyDescent="0.2">
      <c r="A53" s="358"/>
      <c r="B53" s="382" t="s">
        <v>265</v>
      </c>
      <c r="C53" s="427" t="str">
        <f>+IF(SUM(DR!A6:A46)&lt;&gt;0,"Sim","-")</f>
        <v>-</v>
      </c>
      <c r="D53" s="358"/>
      <c r="E53" s="358"/>
      <c r="F53" s="358"/>
      <c r="G53" s="358"/>
      <c r="H53" s="461"/>
      <c r="I53" s="358"/>
    </row>
    <row r="54" spans="1:9" s="361" customFormat="1" ht="18.75" customHeight="1" x14ac:dyDescent="0.2">
      <c r="A54" s="358"/>
      <c r="B54" s="382" t="s">
        <v>196</v>
      </c>
      <c r="C54" s="427" t="str">
        <f>+IF(SUM(BAL!A6:A88)&lt;&gt;0,"Sim","-")</f>
        <v>-</v>
      </c>
      <c r="D54" s="358"/>
      <c r="E54" s="358"/>
      <c r="F54" s="358"/>
      <c r="G54" s="358"/>
      <c r="H54" s="461"/>
      <c r="I54" s="358"/>
    </row>
    <row r="55" spans="1:9" s="361" customFormat="1" ht="18.75" customHeight="1" x14ac:dyDescent="0.2">
      <c r="A55" s="358"/>
      <c r="B55" s="382" t="s">
        <v>266</v>
      </c>
      <c r="C55" s="427" t="str">
        <f>+IF(SUM(DFC!A7:A58)&lt;&gt;0,"Sim","-")</f>
        <v>-</v>
      </c>
      <c r="D55" s="358"/>
      <c r="E55" s="358"/>
      <c r="F55" s="358"/>
      <c r="G55" s="358"/>
      <c r="H55" s="461"/>
      <c r="I55" s="358"/>
    </row>
    <row r="56" spans="1:9" s="361" customFormat="1" ht="18.75" customHeight="1" x14ac:dyDescent="0.2">
      <c r="A56" s="358"/>
      <c r="B56" s="382" t="s">
        <v>257</v>
      </c>
      <c r="C56" s="427" t="str">
        <f>+IF(SUM(Investimentos!A5:A42)&lt;&gt;0,"Sim","-")</f>
        <v>-</v>
      </c>
      <c r="D56" s="358"/>
      <c r="E56" s="358"/>
      <c r="F56" s="358"/>
      <c r="G56" s="358"/>
      <c r="H56" s="461"/>
      <c r="I56" s="358"/>
    </row>
    <row r="57" spans="1:9" s="363" customFormat="1" ht="9.75" customHeight="1" x14ac:dyDescent="0.2">
      <c r="A57" s="362"/>
      <c r="B57" s="369"/>
      <c r="C57" s="428"/>
      <c r="D57" s="362"/>
      <c r="E57" s="362"/>
      <c r="F57" s="362"/>
      <c r="G57" s="362"/>
      <c r="H57" s="462"/>
      <c r="I57" s="362"/>
    </row>
    <row r="58" spans="1:9" s="361" customFormat="1" x14ac:dyDescent="0.2">
      <c r="A58" s="358"/>
      <c r="B58" s="532"/>
      <c r="C58" s="532"/>
      <c r="D58" s="532"/>
      <c r="E58" s="532"/>
      <c r="F58" s="532"/>
      <c r="G58" s="532"/>
      <c r="H58" s="461"/>
      <c r="I58" s="358"/>
    </row>
    <row r="59" spans="1:9" s="361" customFormat="1" x14ac:dyDescent="0.2">
      <c r="A59" s="358"/>
      <c r="B59" s="358"/>
      <c r="C59" s="358"/>
      <c r="D59" s="358"/>
      <c r="E59" s="358"/>
      <c r="F59" s="358"/>
      <c r="G59" s="358"/>
      <c r="H59" s="461"/>
      <c r="I59" s="358"/>
    </row>
    <row r="60" spans="1:9" s="361" customFormat="1" x14ac:dyDescent="0.2">
      <c r="A60" s="362"/>
      <c r="B60" s="362"/>
      <c r="C60" s="362"/>
      <c r="D60" s="362"/>
      <c r="E60" s="362"/>
      <c r="F60" s="362"/>
      <c r="G60" s="362"/>
      <c r="H60" s="462"/>
      <c r="I60" s="362"/>
    </row>
    <row r="61" spans="1:9" s="361" customFormat="1" x14ac:dyDescent="0.2">
      <c r="A61" s="362"/>
      <c r="B61" s="362"/>
      <c r="C61" s="362"/>
      <c r="D61" s="362"/>
      <c r="E61" s="362"/>
      <c r="F61" s="362"/>
      <c r="G61" s="362"/>
      <c r="H61" s="462"/>
      <c r="I61" s="362"/>
    </row>
    <row r="62" spans="1:9" x14ac:dyDescent="0.2">
      <c r="A62" s="231"/>
      <c r="B62" s="231"/>
      <c r="C62" s="231"/>
      <c r="D62" s="231"/>
      <c r="E62" s="231"/>
      <c r="F62" s="231"/>
      <c r="G62" s="231"/>
    </row>
    <row r="63" spans="1:9" hidden="1" x14ac:dyDescent="0.2">
      <c r="A63" s="231"/>
      <c r="B63" s="231"/>
      <c r="C63" s="231"/>
      <c r="D63" s="231"/>
      <c r="E63" s="231"/>
      <c r="F63" s="231"/>
      <c r="G63" s="231"/>
    </row>
    <row r="64" spans="1:9" hidden="1" x14ac:dyDescent="0.2">
      <c r="A64" s="231"/>
      <c r="B64" s="231"/>
      <c r="C64" s="231"/>
      <c r="D64" s="231"/>
      <c r="E64" s="231"/>
      <c r="F64" s="231"/>
      <c r="G64" s="231"/>
    </row>
    <row r="65" spans="1:7" hidden="1" x14ac:dyDescent="0.2">
      <c r="A65" s="231"/>
      <c r="B65" s="231"/>
      <c r="C65" s="231"/>
      <c r="D65" s="231"/>
      <c r="E65" s="231"/>
      <c r="F65" s="231"/>
      <c r="G65" s="231"/>
    </row>
    <row r="66" spans="1:7" hidden="1" x14ac:dyDescent="0.2">
      <c r="A66" s="231"/>
      <c r="B66" s="231"/>
      <c r="C66" s="231"/>
      <c r="D66" s="231"/>
      <c r="E66" s="231"/>
      <c r="F66" s="231"/>
      <c r="G66" s="231"/>
    </row>
    <row r="67" spans="1:7" hidden="1" x14ac:dyDescent="0.2">
      <c r="A67" s="231"/>
      <c r="B67" s="231"/>
      <c r="C67" s="231"/>
      <c r="D67" s="231"/>
      <c r="E67" s="231"/>
      <c r="F67" s="231"/>
      <c r="G67" s="231"/>
    </row>
    <row r="68" spans="1:7" hidden="1" x14ac:dyDescent="0.2">
      <c r="A68" s="231"/>
      <c r="B68" s="231"/>
      <c r="C68" s="231"/>
      <c r="D68" s="231"/>
      <c r="E68" s="231"/>
      <c r="F68" s="231"/>
      <c r="G68" s="231"/>
    </row>
    <row r="69" spans="1:7" hidden="1" x14ac:dyDescent="0.2">
      <c r="A69" s="231"/>
      <c r="B69" s="231"/>
      <c r="C69" s="231"/>
      <c r="D69" s="231"/>
      <c r="E69" s="231"/>
      <c r="F69" s="231"/>
      <c r="G69" s="231"/>
    </row>
    <row r="70" spans="1:7" hidden="1" x14ac:dyDescent="0.2">
      <c r="A70" s="231"/>
      <c r="B70" s="231"/>
      <c r="C70" s="231"/>
      <c r="D70" s="231"/>
      <c r="E70" s="231"/>
      <c r="F70" s="231"/>
      <c r="G70" s="231"/>
    </row>
    <row r="71" spans="1:7" hidden="1" x14ac:dyDescent="0.2">
      <c r="A71" s="231"/>
      <c r="B71" s="707"/>
      <c r="C71" s="707"/>
      <c r="D71" s="707"/>
      <c r="E71" s="707"/>
      <c r="F71" s="707"/>
      <c r="G71" s="707"/>
    </row>
    <row r="72" spans="1:7" hidden="1" x14ac:dyDescent="0.2">
      <c r="A72" s="231"/>
      <c r="B72" s="231"/>
      <c r="C72" s="231"/>
      <c r="D72" s="231"/>
      <c r="E72" s="231"/>
      <c r="F72" s="231"/>
      <c r="G72" s="231"/>
    </row>
    <row r="73" spans="1:7" hidden="1" x14ac:dyDescent="0.2">
      <c r="A73" s="231"/>
      <c r="B73" s="231"/>
      <c r="C73" s="231"/>
      <c r="D73" s="231"/>
      <c r="E73" s="231"/>
      <c r="F73" s="231"/>
      <c r="G73" s="231"/>
    </row>
    <row r="74" spans="1:7" hidden="1" x14ac:dyDescent="0.2">
      <c r="A74" s="231"/>
      <c r="B74" s="231"/>
      <c r="C74" s="231"/>
      <c r="D74" s="231"/>
      <c r="E74" s="231"/>
      <c r="F74" s="231"/>
      <c r="G74" s="231"/>
    </row>
    <row r="75" spans="1:7" hidden="1" x14ac:dyDescent="0.2">
      <c r="A75" s="231"/>
      <c r="B75" s="231"/>
      <c r="C75" s="231"/>
      <c r="D75" s="231"/>
      <c r="E75" s="231"/>
      <c r="F75" s="231"/>
      <c r="G75" s="231"/>
    </row>
    <row r="76" spans="1:7" hidden="1" x14ac:dyDescent="0.2">
      <c r="A76" s="231"/>
      <c r="B76" s="231"/>
      <c r="C76" s="231"/>
      <c r="D76" s="231"/>
      <c r="E76" s="231"/>
      <c r="F76" s="231"/>
      <c r="G76" s="231"/>
    </row>
    <row r="77" spans="1:7" hidden="1" x14ac:dyDescent="0.2">
      <c r="A77" s="231"/>
      <c r="B77" s="231"/>
      <c r="C77" s="231"/>
      <c r="D77" s="231"/>
      <c r="E77" s="231"/>
      <c r="F77" s="231"/>
      <c r="G77" s="231"/>
    </row>
    <row r="78" spans="1:7" hidden="1" x14ac:dyDescent="0.2">
      <c r="A78" s="231"/>
      <c r="B78" s="231"/>
      <c r="C78" s="231"/>
      <c r="D78" s="231"/>
      <c r="E78" s="231"/>
      <c r="F78" s="231"/>
      <c r="G78" s="231"/>
    </row>
    <row r="79" spans="1:7" hidden="1" x14ac:dyDescent="0.2">
      <c r="A79" s="231"/>
      <c r="B79" s="231"/>
      <c r="C79" s="231"/>
      <c r="D79" s="231"/>
      <c r="E79" s="231"/>
      <c r="F79" s="231"/>
      <c r="G79" s="231"/>
    </row>
    <row r="80" spans="1:7" hidden="1" x14ac:dyDescent="0.2">
      <c r="A80" s="231"/>
      <c r="B80" s="231"/>
      <c r="C80" s="231"/>
      <c r="D80" s="231"/>
      <c r="E80" s="231"/>
      <c r="F80" s="231"/>
      <c r="G80" s="231"/>
    </row>
    <row r="81" spans="1:9" hidden="1" x14ac:dyDescent="0.2">
      <c r="A81" s="231"/>
      <c r="B81" s="231"/>
      <c r="C81" s="231"/>
      <c r="D81" s="231"/>
      <c r="E81" s="231"/>
      <c r="F81" s="231"/>
      <c r="G81" s="231"/>
    </row>
    <row r="82" spans="1:9" hidden="1" x14ac:dyDescent="0.2">
      <c r="A82" s="231"/>
      <c r="B82" s="231"/>
      <c r="C82" s="231"/>
      <c r="D82" s="231"/>
      <c r="E82" s="231"/>
      <c r="F82" s="231"/>
      <c r="G82" s="231"/>
    </row>
    <row r="83" spans="1:9" hidden="1" x14ac:dyDescent="0.2">
      <c r="A83" s="231"/>
      <c r="B83" s="231"/>
      <c r="C83" s="231"/>
      <c r="D83" s="231"/>
      <c r="E83" s="231"/>
      <c r="F83" s="231"/>
      <c r="G83" s="231"/>
    </row>
    <row r="84" spans="1:9" hidden="1" x14ac:dyDescent="0.2">
      <c r="A84" s="231"/>
      <c r="B84" s="231"/>
      <c r="C84" s="231"/>
      <c r="D84" s="231"/>
      <c r="E84" s="231"/>
      <c r="F84" s="231"/>
      <c r="G84" s="231"/>
    </row>
    <row r="85" spans="1:9" hidden="1" x14ac:dyDescent="0.2">
      <c r="A85" s="231"/>
      <c r="B85" s="231"/>
      <c r="C85" s="231"/>
      <c r="D85" s="231"/>
      <c r="E85" s="231"/>
      <c r="F85" s="231"/>
      <c r="G85" s="231"/>
    </row>
    <row r="86" spans="1:9" hidden="1" x14ac:dyDescent="0.2">
      <c r="A86" s="231"/>
      <c r="B86" s="231"/>
      <c r="C86" s="231"/>
      <c r="D86" s="231"/>
      <c r="E86" s="231"/>
      <c r="F86" s="231"/>
      <c r="G86" s="231"/>
    </row>
    <row r="87" spans="1:9" hidden="1" x14ac:dyDescent="0.2">
      <c r="A87" s="231"/>
      <c r="B87" s="708"/>
      <c r="C87" s="708"/>
      <c r="D87" s="708"/>
      <c r="E87" s="708"/>
      <c r="F87" s="708"/>
      <c r="G87" s="708"/>
    </row>
    <row r="88" spans="1:9" hidden="1" x14ac:dyDescent="0.2">
      <c r="A88" s="231"/>
    </row>
    <row r="89" spans="1:9" s="229" customFormat="1" hidden="1" x14ac:dyDescent="0.2">
      <c r="A89" s="231"/>
      <c r="H89" s="470"/>
      <c r="I89" s="231"/>
    </row>
    <row r="90" spans="1:9" hidden="1" x14ac:dyDescent="0.2">
      <c r="A90" s="231"/>
    </row>
    <row r="91" spans="1:9" ht="12.75" hidden="1" customHeight="1" x14ac:dyDescent="0.2">
      <c r="A91" s="231"/>
    </row>
    <row r="92" spans="1:9" ht="12.75" hidden="1" customHeight="1" x14ac:dyDescent="0.2">
      <c r="A92" s="231"/>
    </row>
    <row r="93" spans="1:9" ht="12.75" hidden="1" customHeight="1" x14ac:dyDescent="0.2">
      <c r="A93" s="231"/>
    </row>
    <row r="94" spans="1:9" ht="12.75" hidden="1" customHeight="1" x14ac:dyDescent="0.2">
      <c r="A94" s="231"/>
    </row>
    <row r="95" spans="1:9" ht="12.75" hidden="1" customHeight="1" x14ac:dyDescent="0.2">
      <c r="A95" s="231"/>
    </row>
    <row r="96" spans="1:9" ht="12.75" hidden="1" customHeight="1" x14ac:dyDescent="0.2">
      <c r="A96" s="231"/>
    </row>
    <row r="97" spans="1:1" ht="12.75" hidden="1" customHeight="1" x14ac:dyDescent="0.2">
      <c r="A97" s="231"/>
    </row>
    <row r="98" spans="1:1" ht="12.75" hidden="1" customHeight="1" x14ac:dyDescent="0.2">
      <c r="A98" s="231"/>
    </row>
    <row r="99" spans="1:1" ht="12.75" hidden="1" customHeight="1" x14ac:dyDescent="0.2">
      <c r="A99" s="231"/>
    </row>
    <row r="100" spans="1:1" ht="12.75" hidden="1" customHeight="1" x14ac:dyDescent="0.2">
      <c r="A100" s="231"/>
    </row>
    <row r="101" spans="1:1" ht="12.75" hidden="1" customHeight="1" x14ac:dyDescent="0.2">
      <c r="A101" s="231"/>
    </row>
    <row r="102" spans="1:1" ht="12.75" hidden="1" customHeight="1" x14ac:dyDescent="0.2">
      <c r="A102" s="231"/>
    </row>
    <row r="103" spans="1:1" ht="12.75" customHeight="1" x14ac:dyDescent="0.2"/>
  </sheetData>
  <sheetProtection sheet="1" selectLockedCells="1"/>
  <mergeCells count="2">
    <mergeCell ref="B58:G58"/>
    <mergeCell ref="B71:G71"/>
  </mergeCells>
  <conditionalFormatting sqref="C53:C55">
    <cfRule type="cellIs" dxfId="22" priority="6" operator="equal">
      <formula>"Sim"</formula>
    </cfRule>
  </conditionalFormatting>
  <conditionalFormatting sqref="C56">
    <cfRule type="cellIs" dxfId="21" priority="5" operator="equal">
      <formula>"Sim"</formula>
    </cfRule>
  </conditionalFormatting>
  <conditionalFormatting sqref="E40">
    <cfRule type="iconSet" priority="4">
      <iconSet iconSet="3Symbols" showValue="0">
        <cfvo type="percent" val="0"/>
        <cfvo type="num" val="0"/>
        <cfvo type="num" val="0" gte="0"/>
      </iconSet>
    </cfRule>
  </conditionalFormatting>
  <conditionalFormatting sqref="E41">
    <cfRule type="iconSet" priority="3">
      <iconSet iconSet="3Symbols" showValue="0">
        <cfvo type="percent" val="0"/>
        <cfvo type="num" val="0"/>
        <cfvo type="num" val="0" gte="0"/>
      </iconSet>
    </cfRule>
  </conditionalFormatting>
  <conditionalFormatting sqref="E42">
    <cfRule type="iconSet" priority="2">
      <iconSet iconSet="3Symbols" showValue="0">
        <cfvo type="percent" val="0"/>
        <cfvo type="num" val="0"/>
        <cfvo type="num" val="0" gte="0"/>
      </iconSet>
    </cfRule>
  </conditionalFormatting>
  <conditionalFormatting sqref="E43">
    <cfRule type="iconSet" priority="1">
      <iconSet iconSet="3Symbols" showValue="0">
        <cfvo type="percent" val="0"/>
        <cfvo type="num" val="0"/>
        <cfvo type="num" val="0" gte="0"/>
      </iconSet>
    </cfRule>
  </conditionalFormatting>
  <dataValidations count="2">
    <dataValidation allowBlank="1" showInputMessage="1" showErrorMessage="1" errorTitle="Validação" error="Inserir nº decimal menor ou igual que zero" sqref="C40:D43" xr:uid="{84C4D8F0-0077-4BB0-A539-2846CA7D998E}"/>
    <dataValidation type="whole" allowBlank="1" showInputMessage="1" showErrorMessage="1" errorTitle="Erro" sqref="G4" xr:uid="{EF4E8CA8-CCD9-4EAA-9233-C3D015120716}">
      <formula1>0</formula1>
      <formula2>1E+32</formula2>
    </dataValidation>
  </dataValidations>
  <pageMargins left="0.74803149606299213" right="0.74803149606299213" top="0.98425196850393704" bottom="0.98425196850393704" header="0.51181102362204722" footer="0.51181102362204722"/>
  <pageSetup scale="71" fitToHeight="2" orientation="portrait" horizontalDpi="1200" verticalDpi="1200" r:id="rId1"/>
  <headerFooter alignWithMargins="0"/>
  <ignoredErrors>
    <ignoredError sqref="C21:G28 C30:G31 C29 D29:G2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37C71-B021-47BD-8DE7-9B1907E9B168}">
  <sheetPr>
    <tabColor theme="5" tint="0.59999389629810485"/>
    <pageSetUpPr fitToPage="1"/>
  </sheetPr>
  <dimension ref="A1:M89"/>
  <sheetViews>
    <sheetView showGridLines="0" zoomScaleNormal="100" workbookViewId="0">
      <pane ySplit="6" topLeftCell="A7" activePane="bottomLeft" state="frozen"/>
      <selection activeCell="G18" sqref="G18"/>
      <selection pane="bottomLeft" activeCell="E11" sqref="E11"/>
    </sheetView>
  </sheetViews>
  <sheetFormatPr defaultColWidth="0" defaultRowHeight="15" zeroHeight="1" outlineLevelCol="1" x14ac:dyDescent="0.25"/>
  <cols>
    <col min="1" max="1" width="7.28515625" style="597" bestFit="1" customWidth="1"/>
    <col min="2" max="2" width="48.85546875" style="92" bestFit="1" customWidth="1"/>
    <col min="3" max="3" width="8.5703125" style="92" customWidth="1"/>
    <col min="4" max="6" width="16" style="92" customWidth="1"/>
    <col min="7" max="10" width="16" style="92" customWidth="1" outlineLevel="1"/>
    <col min="11" max="13" width="16" style="92" customWidth="1"/>
    <col min="14" max="16384" width="9.140625" hidden="1"/>
  </cols>
  <sheetData>
    <row r="1" spans="1:13" x14ac:dyDescent="0.25">
      <c r="A1" s="359"/>
      <c r="B1" s="534" t="str">
        <f>IF(Instruções!C4="","",Instruções!C4)</f>
        <v/>
      </c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</row>
    <row r="2" spans="1:13" x14ac:dyDescent="0.25">
      <c r="A2" s="359"/>
      <c r="B2"/>
      <c r="C2"/>
      <c r="D2"/>
      <c r="E2"/>
      <c r="F2"/>
      <c r="G2"/>
      <c r="H2"/>
      <c r="I2"/>
      <c r="J2"/>
      <c r="K2"/>
      <c r="L2"/>
      <c r="M2"/>
    </row>
    <row r="3" spans="1:13" ht="15.75" x14ac:dyDescent="0.25">
      <c r="A3" s="359"/>
      <c r="B3" s="85" t="s">
        <v>26</v>
      </c>
      <c r="C3" s="9"/>
      <c r="D3" s="83"/>
      <c r="E3" s="83"/>
      <c r="F3" s="83"/>
      <c r="G3" s="83"/>
      <c r="H3" s="83"/>
      <c r="I3" s="83"/>
      <c r="J3" s="83"/>
      <c r="K3" s="83"/>
      <c r="L3"/>
      <c r="M3"/>
    </row>
    <row r="4" spans="1:13" x14ac:dyDescent="0.25">
      <c r="A4" s="359"/>
      <c r="B4" s="83"/>
      <c r="C4" s="83"/>
      <c r="D4" s="151"/>
      <c r="E4" s="151"/>
      <c r="F4" s="151"/>
      <c r="G4" s="151"/>
      <c r="H4" s="151"/>
      <c r="I4" s="151"/>
      <c r="J4" s="151"/>
      <c r="K4" s="151"/>
      <c r="L4" s="27" t="s">
        <v>151</v>
      </c>
      <c r="M4" s="65"/>
    </row>
    <row r="5" spans="1:13" ht="15.75" customHeight="1" x14ac:dyDescent="0.25">
      <c r="A5" s="359"/>
      <c r="B5" s="535" t="s">
        <v>27</v>
      </c>
      <c r="C5" s="536" t="s">
        <v>2</v>
      </c>
      <c r="D5" s="66">
        <f>IF(Instruções!C7="","",IF(ISERROR(Instruções!C7),"",Instruções!C7-1))</f>
        <v>2022</v>
      </c>
      <c r="E5" s="95">
        <f>IF(Instruções!$C$7="","",IF(ISERROR(Instruções!$C$7),"",Instruções!$C$7))</f>
        <v>2023</v>
      </c>
      <c r="F5" s="95">
        <f>IF(Instruções!$C$7="","",IF(ISERROR(Instruções!$C$7),"",Instruções!$C$7))</f>
        <v>2023</v>
      </c>
      <c r="G5" s="51" t="str">
        <f>IF(Instruções!$C$7="","",IF(ISERROR(Instruções!$C$7),"","1ºT"&amp;Instruções!$C$7+1))</f>
        <v>1ºT2024</v>
      </c>
      <c r="H5" s="51" t="str">
        <f>IF(Instruções!$C$7="","",IF(ISERROR(Instruções!$C$7),"","2ºT"&amp;Instruções!$C$7+1))</f>
        <v>2ºT2024</v>
      </c>
      <c r="I5" s="51" t="str">
        <f>IF(Instruções!$C$7="","",IF(ISERROR(Instruções!$C$7),"","3ºT"&amp;Instruções!$C$7+1))</f>
        <v>3ºT2024</v>
      </c>
      <c r="J5" s="51" t="str">
        <f>IF(Instruções!$C$7="","",IF(ISERROR(Instruções!$C$7),"","4ºT"&amp;Instruções!$C$7+1))</f>
        <v>4ºT2024</v>
      </c>
      <c r="K5" s="67">
        <f>IF(Instruções!C7="","",IF(ISERROR(Instruções!C7),"",Instruções!C7+1))</f>
        <v>2024</v>
      </c>
      <c r="L5" s="68">
        <f>IF(Instruções!C7="","",IF(ISERROR(Instruções!C7),"",Instruções!C7+2))</f>
        <v>2025</v>
      </c>
      <c r="M5" s="69">
        <f>IF(Instruções!C7="","",IF(ISERROR(Instruções!C7),"",Instruções!C7+3))</f>
        <v>2026</v>
      </c>
    </row>
    <row r="6" spans="1:13" x14ac:dyDescent="0.25">
      <c r="A6" s="359"/>
      <c r="B6" s="535"/>
      <c r="C6" s="536"/>
      <c r="D6" s="70" t="str">
        <f>IF(D5="","","Execução")</f>
        <v>Execução</v>
      </c>
      <c r="E6" s="96" t="str">
        <f>IF(D5="","","PAO")</f>
        <v>PAO</v>
      </c>
      <c r="F6" s="389" t="str">
        <f>IF(D5="","","Estimativa")</f>
        <v>Estimativa</v>
      </c>
      <c r="G6" s="404" t="str">
        <f t="shared" ref="G6:J6" si="0">IF($D$5="","","Previsão")</f>
        <v>Previsão</v>
      </c>
      <c r="H6" s="404" t="str">
        <f t="shared" si="0"/>
        <v>Previsão</v>
      </c>
      <c r="I6" s="404" t="str">
        <f t="shared" si="0"/>
        <v>Previsão</v>
      </c>
      <c r="J6" s="404" t="str">
        <f t="shared" si="0"/>
        <v>Previsão</v>
      </c>
      <c r="K6" s="405" t="str">
        <f>IF(F5="","","Previsão")</f>
        <v>Previsão</v>
      </c>
      <c r="L6" s="406" t="str">
        <f>IF(K5="","","Previsão")</f>
        <v>Previsão</v>
      </c>
      <c r="M6" s="73" t="str">
        <f>IF(L5="","","Previsão")</f>
        <v>Previsão</v>
      </c>
    </row>
    <row r="7" spans="1:13" ht="6.75" customHeight="1" x14ac:dyDescent="0.25">
      <c r="A7" s="359"/>
      <c r="F7" s="172"/>
      <c r="G7" s="629"/>
      <c r="H7" s="172"/>
      <c r="I7" s="172"/>
      <c r="J7" s="172"/>
      <c r="K7" s="172"/>
      <c r="L7" s="172"/>
      <c r="M7" s="173"/>
    </row>
    <row r="8" spans="1:13" x14ac:dyDescent="0.25">
      <c r="A8" s="359"/>
      <c r="B8" s="537" t="s">
        <v>28</v>
      </c>
      <c r="C8" s="538"/>
      <c r="D8" s="12"/>
      <c r="E8" s="159"/>
      <c r="F8" s="159"/>
      <c r="G8" s="630"/>
      <c r="H8" s="159"/>
      <c r="I8" s="159"/>
      <c r="J8" s="159"/>
      <c r="K8" s="159"/>
      <c r="L8" s="159"/>
      <c r="M8" s="164"/>
    </row>
    <row r="9" spans="1:13" ht="4.5" customHeight="1" x14ac:dyDescent="0.25">
      <c r="A9" s="359"/>
      <c r="B9" s="83"/>
      <c r="C9" s="83"/>
      <c r="D9" s="83"/>
      <c r="E9" s="83"/>
      <c r="F9" s="83"/>
      <c r="G9" s="631"/>
      <c r="H9" s="174"/>
      <c r="I9" s="174"/>
      <c r="J9" s="174"/>
      <c r="K9" s="174"/>
      <c r="L9" s="174"/>
      <c r="M9" s="175"/>
    </row>
    <row r="10" spans="1:13" x14ac:dyDescent="0.25">
      <c r="A10" s="359"/>
      <c r="B10" s="13" t="s">
        <v>29</v>
      </c>
      <c r="C10" s="13"/>
      <c r="D10" s="14"/>
      <c r="E10" s="169"/>
      <c r="F10" s="169"/>
      <c r="G10" s="632"/>
      <c r="H10" s="169"/>
      <c r="I10" s="169"/>
      <c r="J10" s="169"/>
      <c r="K10" s="169"/>
      <c r="L10" s="169"/>
      <c r="M10" s="633"/>
    </row>
    <row r="11" spans="1:13" s="297" customFormat="1" x14ac:dyDescent="0.25">
      <c r="A11" s="359"/>
      <c r="B11" s="21" t="s">
        <v>30</v>
      </c>
      <c r="C11" s="77" t="s">
        <v>31</v>
      </c>
      <c r="D11" s="296"/>
      <c r="E11" s="296"/>
      <c r="F11" s="628"/>
      <c r="G11" s="628"/>
      <c r="H11" s="293"/>
      <c r="I11" s="293"/>
      <c r="J11" s="293"/>
      <c r="K11" s="293"/>
      <c r="L11" s="293"/>
      <c r="M11" s="634"/>
    </row>
    <row r="12" spans="1:13" s="297" customFormat="1" x14ac:dyDescent="0.25">
      <c r="A12" s="359"/>
      <c r="B12" s="21" t="s">
        <v>32</v>
      </c>
      <c r="C12" s="77" t="s">
        <v>33</v>
      </c>
      <c r="D12" s="296"/>
      <c r="E12" s="296"/>
      <c r="F12" s="628"/>
      <c r="G12" s="628"/>
      <c r="H12" s="293"/>
      <c r="I12" s="293"/>
      <c r="J12" s="293"/>
      <c r="K12" s="293"/>
      <c r="L12" s="293"/>
      <c r="M12" s="634"/>
    </row>
    <row r="13" spans="1:13" s="297" customFormat="1" x14ac:dyDescent="0.25">
      <c r="A13" s="359"/>
      <c r="B13" s="21" t="s">
        <v>34</v>
      </c>
      <c r="C13" s="77" t="s">
        <v>33</v>
      </c>
      <c r="D13" s="296"/>
      <c r="E13" s="296"/>
      <c r="F13" s="628"/>
      <c r="G13" s="628"/>
      <c r="H13" s="293"/>
      <c r="I13" s="293"/>
      <c r="J13" s="293"/>
      <c r="K13" s="293"/>
      <c r="L13" s="293"/>
      <c r="M13" s="634"/>
    </row>
    <row r="14" spans="1:13" s="297" customFormat="1" x14ac:dyDescent="0.25">
      <c r="A14" s="359"/>
      <c r="B14" s="21" t="s">
        <v>35</v>
      </c>
      <c r="C14" s="77"/>
      <c r="D14" s="296"/>
      <c r="E14" s="296"/>
      <c r="F14" s="628"/>
      <c r="G14" s="628"/>
      <c r="H14" s="293"/>
      <c r="I14" s="293"/>
      <c r="J14" s="293"/>
      <c r="K14" s="293"/>
      <c r="L14" s="293"/>
      <c r="M14" s="634"/>
    </row>
    <row r="15" spans="1:13" s="297" customFormat="1" x14ac:dyDescent="0.25">
      <c r="A15" s="359"/>
      <c r="B15" s="21" t="s">
        <v>36</v>
      </c>
      <c r="C15" s="77" t="s">
        <v>33</v>
      </c>
      <c r="D15" s="296"/>
      <c r="E15" s="296"/>
      <c r="F15" s="628"/>
      <c r="G15" s="628"/>
      <c r="H15" s="293"/>
      <c r="I15" s="293"/>
      <c r="J15" s="293"/>
      <c r="K15" s="293"/>
      <c r="L15" s="293"/>
      <c r="M15" s="634"/>
    </row>
    <row r="16" spans="1:13" s="297" customFormat="1" ht="21" x14ac:dyDescent="0.25">
      <c r="A16" s="359"/>
      <c r="B16" s="21" t="s">
        <v>37</v>
      </c>
      <c r="C16" s="77"/>
      <c r="D16" s="296"/>
      <c r="E16" s="296"/>
      <c r="F16" s="628"/>
      <c r="G16" s="628"/>
      <c r="H16" s="293"/>
      <c r="I16" s="293"/>
      <c r="J16" s="293"/>
      <c r="K16" s="293"/>
      <c r="L16" s="293"/>
      <c r="M16" s="634"/>
    </row>
    <row r="17" spans="1:13" s="297" customFormat="1" x14ac:dyDescent="0.25">
      <c r="A17" s="359"/>
      <c r="B17" s="21" t="s">
        <v>38</v>
      </c>
      <c r="C17" s="77"/>
      <c r="D17" s="296"/>
      <c r="E17" s="296"/>
      <c r="F17" s="628"/>
      <c r="G17" s="628"/>
      <c r="H17" s="293"/>
      <c r="I17" s="293"/>
      <c r="J17" s="293"/>
      <c r="K17" s="293"/>
      <c r="L17" s="293"/>
      <c r="M17" s="634"/>
    </row>
    <row r="18" spans="1:13" s="297" customFormat="1" x14ac:dyDescent="0.25">
      <c r="A18" s="359"/>
      <c r="B18" s="21" t="s">
        <v>267</v>
      </c>
      <c r="C18" s="77"/>
      <c r="D18" s="296"/>
      <c r="E18" s="296"/>
      <c r="F18" s="628"/>
      <c r="G18" s="628"/>
      <c r="H18" s="293"/>
      <c r="I18" s="293"/>
      <c r="J18" s="293"/>
      <c r="K18" s="293"/>
      <c r="L18" s="293"/>
      <c r="M18" s="634"/>
    </row>
    <row r="19" spans="1:13" s="297" customFormat="1" x14ac:dyDescent="0.25">
      <c r="A19" s="359"/>
      <c r="B19" s="21" t="s">
        <v>39</v>
      </c>
      <c r="C19" s="77"/>
      <c r="D19" s="296"/>
      <c r="E19" s="296"/>
      <c r="F19" s="628"/>
      <c r="G19" s="628"/>
      <c r="H19" s="293"/>
      <c r="I19" s="293"/>
      <c r="J19" s="293"/>
      <c r="K19" s="293"/>
      <c r="L19" s="293"/>
      <c r="M19" s="634"/>
    </row>
    <row r="20" spans="1:13" s="297" customFormat="1" x14ac:dyDescent="0.25">
      <c r="A20" s="359"/>
      <c r="B20" s="21" t="s">
        <v>40</v>
      </c>
      <c r="C20" s="77"/>
      <c r="D20" s="296"/>
      <c r="E20" s="296"/>
      <c r="F20" s="628"/>
      <c r="G20" s="628"/>
      <c r="H20" s="293"/>
      <c r="I20" s="293"/>
      <c r="J20" s="293"/>
      <c r="K20" s="293"/>
      <c r="L20" s="293"/>
      <c r="M20" s="634"/>
    </row>
    <row r="21" spans="1:13" s="297" customFormat="1" x14ac:dyDescent="0.25">
      <c r="A21" s="359"/>
      <c r="B21" s="21" t="s">
        <v>268</v>
      </c>
      <c r="C21" s="77"/>
      <c r="D21" s="296"/>
      <c r="E21" s="296"/>
      <c r="F21" s="628"/>
      <c r="G21" s="628"/>
      <c r="H21" s="293"/>
      <c r="I21" s="293"/>
      <c r="J21" s="293"/>
      <c r="K21" s="293"/>
      <c r="L21" s="293"/>
      <c r="M21" s="634"/>
    </row>
    <row r="22" spans="1:13" s="297" customFormat="1" x14ac:dyDescent="0.25">
      <c r="A22" s="359"/>
      <c r="B22" s="21" t="s">
        <v>41</v>
      </c>
      <c r="C22" s="77" t="s">
        <v>33</v>
      </c>
      <c r="D22" s="296"/>
      <c r="E22" s="296"/>
      <c r="F22" s="628"/>
      <c r="G22" s="628"/>
      <c r="H22" s="293"/>
      <c r="I22" s="293"/>
      <c r="J22" s="397"/>
      <c r="K22" s="293"/>
      <c r="L22" s="293"/>
      <c r="M22" s="634"/>
    </row>
    <row r="23" spans="1:13" s="297" customFormat="1" x14ac:dyDescent="0.25">
      <c r="A23" s="359"/>
      <c r="B23" s="16"/>
      <c r="C23" s="23" t="s">
        <v>42</v>
      </c>
      <c r="D23" s="288">
        <f>SUM(D11:D22)</f>
        <v>0</v>
      </c>
      <c r="E23" s="289">
        <f>SUM(E11:E22)</f>
        <v>0</v>
      </c>
      <c r="F23" s="399">
        <f>SUM(F11:F22)</f>
        <v>0</v>
      </c>
      <c r="G23" s="635">
        <f t="shared" ref="G23:J23" si="1">SUM(G11:G22)</f>
        <v>0</v>
      </c>
      <c r="H23" s="399">
        <f t="shared" si="1"/>
        <v>0</v>
      </c>
      <c r="I23" s="399">
        <f t="shared" si="1"/>
        <v>0</v>
      </c>
      <c r="J23" s="398">
        <f t="shared" si="1"/>
        <v>0</v>
      </c>
      <c r="K23" s="403">
        <f>SUM(K11:K22)</f>
        <v>0</v>
      </c>
      <c r="L23" s="288">
        <f>SUM(L11:L22)</f>
        <v>0</v>
      </c>
      <c r="M23" s="290">
        <f>SUM(M11:M22)</f>
        <v>0</v>
      </c>
    </row>
    <row r="24" spans="1:13" ht="4.5" customHeight="1" x14ac:dyDescent="0.25">
      <c r="A24" s="359"/>
      <c r="B24"/>
      <c r="C24" s="83"/>
      <c r="D24" s="83"/>
      <c r="E24" s="83"/>
      <c r="F24" s="174"/>
      <c r="G24" s="631"/>
      <c r="H24" s="174"/>
      <c r="I24" s="174"/>
      <c r="J24" s="174"/>
      <c r="K24" s="174"/>
      <c r="L24" s="174"/>
      <c r="M24" s="175"/>
    </row>
    <row r="25" spans="1:13" x14ac:dyDescent="0.25">
      <c r="A25" s="359"/>
      <c r="B25" s="18" t="s">
        <v>43</v>
      </c>
      <c r="C25" s="18"/>
      <c r="D25" s="20"/>
      <c r="E25" s="20"/>
      <c r="F25" s="170"/>
      <c r="G25" s="636"/>
      <c r="H25" s="20"/>
      <c r="I25" s="20"/>
      <c r="J25" s="20"/>
      <c r="K25" s="20"/>
      <c r="L25" s="20"/>
      <c r="M25" s="637"/>
    </row>
    <row r="26" spans="1:13" x14ac:dyDescent="0.25">
      <c r="A26" s="359"/>
      <c r="B26" s="21" t="s">
        <v>44</v>
      </c>
      <c r="C26" s="77" t="s">
        <v>31</v>
      </c>
      <c r="D26" s="293"/>
      <c r="E26" s="293"/>
      <c r="F26" s="293"/>
      <c r="G26" s="628"/>
      <c r="H26" s="293"/>
      <c r="I26" s="293"/>
      <c r="J26" s="293"/>
      <c r="K26" s="293"/>
      <c r="L26" s="293"/>
      <c r="M26" s="634"/>
    </row>
    <row r="27" spans="1:13" x14ac:dyDescent="0.25">
      <c r="A27" s="359"/>
      <c r="B27" s="21" t="s">
        <v>35</v>
      </c>
      <c r="C27" s="77" t="s">
        <v>33</v>
      </c>
      <c r="D27" s="293"/>
      <c r="E27" s="293"/>
      <c r="F27" s="293"/>
      <c r="G27" s="628"/>
      <c r="H27" s="293"/>
      <c r="I27" s="293"/>
      <c r="J27" s="293"/>
      <c r="K27" s="293"/>
      <c r="L27" s="293"/>
      <c r="M27" s="634"/>
    </row>
    <row r="28" spans="1:13" ht="21" x14ac:dyDescent="0.25">
      <c r="A28" s="359"/>
      <c r="B28" s="21" t="s">
        <v>45</v>
      </c>
      <c r="C28" s="77"/>
      <c r="D28" s="293"/>
      <c r="E28" s="293"/>
      <c r="F28" s="293"/>
      <c r="G28" s="628"/>
      <c r="H28" s="293"/>
      <c r="I28" s="293"/>
      <c r="J28" s="293"/>
      <c r="K28" s="293"/>
      <c r="L28" s="293"/>
      <c r="M28" s="634"/>
    </row>
    <row r="29" spans="1:13" ht="21" x14ac:dyDescent="0.25">
      <c r="A29" s="359"/>
      <c r="B29" s="21" t="s">
        <v>37</v>
      </c>
      <c r="C29" s="77"/>
      <c r="D29" s="293"/>
      <c r="E29" s="293"/>
      <c r="F29" s="293"/>
      <c r="G29" s="628"/>
      <c r="H29" s="293"/>
      <c r="I29" s="293"/>
      <c r="J29" s="293"/>
      <c r="K29" s="293"/>
      <c r="L29" s="293"/>
      <c r="M29" s="634"/>
    </row>
    <row r="30" spans="1:13" x14ac:dyDescent="0.25">
      <c r="A30" s="359"/>
      <c r="B30" s="21" t="s">
        <v>38</v>
      </c>
      <c r="C30" s="77" t="s">
        <v>33</v>
      </c>
      <c r="D30" s="293"/>
      <c r="E30" s="293"/>
      <c r="F30" s="293"/>
      <c r="G30" s="628"/>
      <c r="H30" s="293"/>
      <c r="I30" s="293"/>
      <c r="J30" s="293"/>
      <c r="K30" s="293"/>
      <c r="L30" s="293"/>
      <c r="M30" s="634"/>
    </row>
    <row r="31" spans="1:13" x14ac:dyDescent="0.25">
      <c r="A31" s="359"/>
      <c r="B31" s="21" t="s">
        <v>46</v>
      </c>
      <c r="C31" s="77" t="s">
        <v>33</v>
      </c>
      <c r="D31" s="293"/>
      <c r="E31" s="293"/>
      <c r="F31" s="293"/>
      <c r="G31" s="628"/>
      <c r="H31" s="293"/>
      <c r="I31" s="293"/>
      <c r="J31" s="293"/>
      <c r="K31" s="293"/>
      <c r="L31" s="293"/>
      <c r="M31" s="634"/>
    </row>
    <row r="32" spans="1:13" x14ac:dyDescent="0.25">
      <c r="A32" s="359"/>
      <c r="B32" s="21" t="s">
        <v>267</v>
      </c>
      <c r="C32" s="77"/>
      <c r="D32" s="293"/>
      <c r="E32" s="293"/>
      <c r="F32" s="293"/>
      <c r="G32" s="628"/>
      <c r="H32" s="293"/>
      <c r="I32" s="293"/>
      <c r="J32" s="293"/>
      <c r="K32" s="293"/>
      <c r="L32" s="293"/>
      <c r="M32" s="634"/>
    </row>
    <row r="33" spans="1:13" x14ac:dyDescent="0.25">
      <c r="A33" s="359"/>
      <c r="B33" s="21" t="s">
        <v>41</v>
      </c>
      <c r="C33" s="77" t="s">
        <v>33</v>
      </c>
      <c r="D33" s="293"/>
      <c r="E33" s="293"/>
      <c r="F33" s="293"/>
      <c r="G33" s="628"/>
      <c r="H33" s="293"/>
      <c r="I33" s="293"/>
      <c r="J33" s="293"/>
      <c r="K33" s="293"/>
      <c r="L33" s="293"/>
      <c r="M33" s="634"/>
    </row>
    <row r="34" spans="1:13" x14ac:dyDescent="0.25">
      <c r="A34" s="359"/>
      <c r="B34" s="21" t="s">
        <v>39</v>
      </c>
      <c r="C34" s="77" t="s">
        <v>33</v>
      </c>
      <c r="D34" s="293"/>
      <c r="E34" s="293"/>
      <c r="F34" s="293"/>
      <c r="G34" s="628"/>
      <c r="H34" s="293"/>
      <c r="I34" s="293"/>
      <c r="J34" s="293"/>
      <c r="K34" s="293"/>
      <c r="L34" s="293"/>
      <c r="M34" s="634"/>
    </row>
    <row r="35" spans="1:13" x14ac:dyDescent="0.25">
      <c r="A35" s="359"/>
      <c r="B35" s="21" t="s">
        <v>47</v>
      </c>
      <c r="C35" s="77" t="s">
        <v>33</v>
      </c>
      <c r="D35" s="293"/>
      <c r="E35" s="293"/>
      <c r="F35" s="293"/>
      <c r="G35" s="628"/>
      <c r="H35" s="293"/>
      <c r="I35" s="293"/>
      <c r="J35" s="293"/>
      <c r="K35" s="293"/>
      <c r="L35" s="293"/>
      <c r="M35" s="634"/>
    </row>
    <row r="36" spans="1:13" x14ac:dyDescent="0.25">
      <c r="A36" s="359"/>
      <c r="B36" s="21" t="s">
        <v>40</v>
      </c>
      <c r="C36" s="77" t="s">
        <v>33</v>
      </c>
      <c r="D36" s="293"/>
      <c r="E36" s="293"/>
      <c r="F36" s="293"/>
      <c r="G36" s="628"/>
      <c r="H36" s="293"/>
      <c r="I36" s="293"/>
      <c r="J36" s="293"/>
      <c r="K36" s="293"/>
      <c r="L36" s="293"/>
      <c r="M36" s="634"/>
    </row>
    <row r="37" spans="1:13" x14ac:dyDescent="0.25">
      <c r="A37" s="359"/>
      <c r="B37" s="21" t="s">
        <v>269</v>
      </c>
      <c r="C37" s="77"/>
      <c r="D37" s="293"/>
      <c r="E37" s="293"/>
      <c r="F37" s="293"/>
      <c r="G37" s="628"/>
      <c r="H37" s="293"/>
      <c r="I37" s="293"/>
      <c r="J37" s="293"/>
      <c r="K37" s="293"/>
      <c r="L37" s="293"/>
      <c r="M37" s="634"/>
    </row>
    <row r="38" spans="1:13" x14ac:dyDescent="0.25">
      <c r="A38" s="359"/>
      <c r="B38" s="21" t="s">
        <v>48</v>
      </c>
      <c r="C38" s="77"/>
      <c r="D38" s="293"/>
      <c r="E38" s="293"/>
      <c r="F38" s="293"/>
      <c r="G38" s="628"/>
      <c r="H38" s="293"/>
      <c r="I38" s="293"/>
      <c r="J38" s="293"/>
      <c r="K38" s="293"/>
      <c r="L38" s="293"/>
      <c r="M38" s="634"/>
    </row>
    <row r="39" spans="1:13" x14ac:dyDescent="0.25">
      <c r="A39" s="359"/>
      <c r="B39" s="17"/>
      <c r="C39" s="23" t="s">
        <v>42</v>
      </c>
      <c r="D39" s="288">
        <f>SUM(D26:D38)</f>
        <v>0</v>
      </c>
      <c r="E39" s="289">
        <f>SUM(E26:E38)</f>
        <v>0</v>
      </c>
      <c r="F39" s="399">
        <f>SUM(F26:F38)</f>
        <v>0</v>
      </c>
      <c r="G39" s="635">
        <f t="shared" ref="G39:J39" si="2">SUM(G26:G38)</f>
        <v>0</v>
      </c>
      <c r="H39" s="399">
        <f t="shared" si="2"/>
        <v>0</v>
      </c>
      <c r="I39" s="399">
        <f t="shared" si="2"/>
        <v>0</v>
      </c>
      <c r="J39" s="399">
        <f t="shared" si="2"/>
        <v>0</v>
      </c>
      <c r="K39" s="400">
        <f>SUM(K26:K38)</f>
        <v>0</v>
      </c>
      <c r="L39" s="288">
        <f>SUM(L26:L38)</f>
        <v>0</v>
      </c>
      <c r="M39" s="290">
        <f>SUM(M26:M38)</f>
        <v>0</v>
      </c>
    </row>
    <row r="40" spans="1:13" x14ac:dyDescent="0.25">
      <c r="A40" s="359"/>
      <c r="B40" s="19"/>
      <c r="C40" s="24" t="s">
        <v>49</v>
      </c>
      <c r="D40" s="291">
        <f>D39+D23</f>
        <v>0</v>
      </c>
      <c r="E40" s="287">
        <f>E39+E23</f>
        <v>0</v>
      </c>
      <c r="F40" s="402">
        <f>F39+F23</f>
        <v>0</v>
      </c>
      <c r="G40" s="638">
        <f t="shared" ref="G40:J40" si="3">G39+G23</f>
        <v>0</v>
      </c>
      <c r="H40" s="402">
        <f t="shared" si="3"/>
        <v>0</v>
      </c>
      <c r="I40" s="402">
        <f t="shared" si="3"/>
        <v>0</v>
      </c>
      <c r="J40" s="402">
        <f t="shared" si="3"/>
        <v>0</v>
      </c>
      <c r="K40" s="402">
        <f>K39+K23</f>
        <v>0</v>
      </c>
      <c r="L40" s="401">
        <f>L39+L23</f>
        <v>0</v>
      </c>
      <c r="M40" s="292">
        <f>M39+M23</f>
        <v>0</v>
      </c>
    </row>
    <row r="41" spans="1:13" ht="4.5" customHeight="1" x14ac:dyDescent="0.25">
      <c r="A41" s="359"/>
      <c r="B41"/>
      <c r="C41"/>
      <c r="D41" s="83"/>
      <c r="E41" s="83"/>
      <c r="F41" s="174"/>
      <c r="G41" s="631"/>
      <c r="H41" s="174"/>
      <c r="I41" s="174"/>
      <c r="J41" s="174"/>
      <c r="K41" s="174"/>
      <c r="L41" s="174"/>
      <c r="M41" s="175"/>
    </row>
    <row r="42" spans="1:13" x14ac:dyDescent="0.25">
      <c r="A42" s="359"/>
      <c r="B42" s="533" t="s">
        <v>50</v>
      </c>
      <c r="C42" s="533"/>
      <c r="D42" s="63"/>
      <c r="E42" s="171"/>
      <c r="F42" s="171"/>
      <c r="G42" s="639"/>
      <c r="H42" s="171"/>
      <c r="I42" s="171"/>
      <c r="J42" s="171"/>
      <c r="K42" s="171"/>
      <c r="L42" s="171"/>
      <c r="M42" s="640"/>
    </row>
    <row r="43" spans="1:13" x14ac:dyDescent="0.25">
      <c r="A43" s="359"/>
      <c r="B43" s="21" t="s">
        <v>51</v>
      </c>
      <c r="C43" s="77" t="s">
        <v>31</v>
      </c>
      <c r="D43" s="293"/>
      <c r="E43" s="293"/>
      <c r="F43" s="293"/>
      <c r="G43" s="628"/>
      <c r="H43" s="293"/>
      <c r="I43" s="293"/>
      <c r="J43" s="293"/>
      <c r="K43" s="293"/>
      <c r="L43" s="293"/>
      <c r="M43" s="634"/>
    </row>
    <row r="44" spans="1:13" x14ac:dyDescent="0.25">
      <c r="A44" s="359"/>
      <c r="B44" s="21" t="s">
        <v>270</v>
      </c>
      <c r="C44" s="77"/>
      <c r="D44" s="293"/>
      <c r="E44" s="293"/>
      <c r="F44" s="293"/>
      <c r="G44" s="628"/>
      <c r="H44" s="293"/>
      <c r="I44" s="293"/>
      <c r="J44" s="293"/>
      <c r="K44" s="293"/>
      <c r="L44" s="293"/>
      <c r="M44" s="634"/>
    </row>
    <row r="45" spans="1:13" x14ac:dyDescent="0.25">
      <c r="A45" s="359"/>
      <c r="B45" s="21" t="s">
        <v>52</v>
      </c>
      <c r="C45" s="77" t="s">
        <v>33</v>
      </c>
      <c r="D45" s="293"/>
      <c r="E45" s="293"/>
      <c r="F45" s="293"/>
      <c r="G45" s="628"/>
      <c r="H45" s="293"/>
      <c r="I45" s="293"/>
      <c r="J45" s="293"/>
      <c r="K45" s="293"/>
      <c r="L45" s="293"/>
      <c r="M45" s="634"/>
    </row>
    <row r="46" spans="1:13" x14ac:dyDescent="0.25">
      <c r="A46" s="359"/>
      <c r="B46" s="21" t="s">
        <v>53</v>
      </c>
      <c r="C46" s="77" t="s">
        <v>33</v>
      </c>
      <c r="D46" s="293"/>
      <c r="E46" s="293"/>
      <c r="F46" s="293"/>
      <c r="G46" s="628"/>
      <c r="H46" s="293"/>
      <c r="I46" s="293"/>
      <c r="J46" s="293"/>
      <c r="K46" s="293"/>
      <c r="L46" s="293"/>
      <c r="M46" s="634"/>
    </row>
    <row r="47" spans="1:13" x14ac:dyDescent="0.25">
      <c r="A47" s="359"/>
      <c r="B47" s="21" t="s">
        <v>54</v>
      </c>
      <c r="C47" s="77" t="s">
        <v>33</v>
      </c>
      <c r="D47" s="293"/>
      <c r="E47" s="293"/>
      <c r="F47" s="293"/>
      <c r="G47" s="628"/>
      <c r="H47" s="293"/>
      <c r="I47" s="293"/>
      <c r="J47" s="293"/>
      <c r="K47" s="293"/>
      <c r="L47" s="293"/>
      <c r="M47" s="634"/>
    </row>
    <row r="48" spans="1:13" x14ac:dyDescent="0.25">
      <c r="A48" s="359"/>
      <c r="B48" s="21" t="s">
        <v>55</v>
      </c>
      <c r="C48" s="77" t="s">
        <v>33</v>
      </c>
      <c r="D48" s="293"/>
      <c r="E48" s="293"/>
      <c r="F48" s="293"/>
      <c r="G48" s="628"/>
      <c r="H48" s="293"/>
      <c r="I48" s="293"/>
      <c r="J48" s="293"/>
      <c r="K48" s="293"/>
      <c r="L48" s="293"/>
      <c r="M48" s="634"/>
    </row>
    <row r="49" spans="1:13" x14ac:dyDescent="0.25">
      <c r="A49" s="359"/>
      <c r="B49" s="21" t="s">
        <v>56</v>
      </c>
      <c r="C49" s="77"/>
      <c r="D49" s="293"/>
      <c r="E49" s="293"/>
      <c r="F49" s="293"/>
      <c r="G49" s="628"/>
      <c r="H49" s="293"/>
      <c r="I49" s="293"/>
      <c r="J49" s="293"/>
      <c r="K49" s="293"/>
      <c r="L49" s="293"/>
      <c r="M49" s="634"/>
    </row>
    <row r="50" spans="1:13" x14ac:dyDescent="0.25">
      <c r="A50" s="359"/>
      <c r="B50" s="21" t="s">
        <v>57</v>
      </c>
      <c r="C50" s="77" t="s">
        <v>33</v>
      </c>
      <c r="D50" s="293"/>
      <c r="E50" s="293"/>
      <c r="F50" s="293"/>
      <c r="G50" s="628"/>
      <c r="H50" s="293"/>
      <c r="I50" s="293"/>
      <c r="J50" s="293"/>
      <c r="K50" s="293"/>
      <c r="L50" s="293"/>
      <c r="M50" s="634"/>
    </row>
    <row r="51" spans="1:13" x14ac:dyDescent="0.25">
      <c r="A51" s="359"/>
      <c r="B51" s="21" t="s">
        <v>58</v>
      </c>
      <c r="C51" s="77"/>
      <c r="D51" s="293"/>
      <c r="E51" s="293"/>
      <c r="F51" s="293"/>
      <c r="G51" s="628"/>
      <c r="H51" s="293"/>
      <c r="I51" s="293"/>
      <c r="J51" s="293"/>
      <c r="K51" s="293"/>
      <c r="L51" s="293"/>
      <c r="M51" s="634"/>
    </row>
    <row r="52" spans="1:13" x14ac:dyDescent="0.25">
      <c r="A52" s="359"/>
      <c r="B52" s="21" t="s">
        <v>23</v>
      </c>
      <c r="C52" s="77"/>
      <c r="D52" s="293"/>
      <c r="E52" s="293"/>
      <c r="F52" s="293"/>
      <c r="G52" s="628"/>
      <c r="H52" s="293"/>
      <c r="I52" s="293"/>
      <c r="J52" s="293"/>
      <c r="K52" s="293"/>
      <c r="L52" s="293"/>
      <c r="M52" s="634"/>
    </row>
    <row r="53" spans="1:13" x14ac:dyDescent="0.25">
      <c r="A53" s="359"/>
      <c r="B53" s="21" t="s">
        <v>271</v>
      </c>
      <c r="C53" s="77"/>
      <c r="D53" s="293"/>
      <c r="E53" s="293"/>
      <c r="F53" s="293"/>
      <c r="G53" s="628"/>
      <c r="H53" s="293"/>
      <c r="I53" s="293"/>
      <c r="J53" s="293"/>
      <c r="K53" s="293"/>
      <c r="L53" s="293"/>
      <c r="M53" s="634"/>
    </row>
    <row r="54" spans="1:13" x14ac:dyDescent="0.25">
      <c r="A54" s="359"/>
      <c r="B54" s="21" t="s">
        <v>59</v>
      </c>
      <c r="C54" s="77"/>
      <c r="D54" s="293"/>
      <c r="E54" s="293"/>
      <c r="F54" s="293"/>
      <c r="G54" s="628"/>
      <c r="H54" s="293"/>
      <c r="I54" s="293"/>
      <c r="J54" s="293"/>
      <c r="K54" s="293"/>
      <c r="L54" s="293"/>
      <c r="M54" s="634"/>
    </row>
    <row r="55" spans="1:13" x14ac:dyDescent="0.25">
      <c r="A55" s="359"/>
      <c r="B55" s="86"/>
      <c r="C55" s="15" t="s">
        <v>60</v>
      </c>
      <c r="D55" s="287">
        <f>SUM(D43:D54)</f>
        <v>0</v>
      </c>
      <c r="E55" s="287">
        <f>SUM(E43:E54)</f>
        <v>0</v>
      </c>
      <c r="F55" s="395">
        <f>SUM(F43:F54)</f>
        <v>0</v>
      </c>
      <c r="G55" s="641">
        <f t="shared" ref="G55:M55" si="4">SUM(G43:G54)</f>
        <v>0</v>
      </c>
      <c r="H55" s="395">
        <f t="shared" si="4"/>
        <v>0</v>
      </c>
      <c r="I55" s="395">
        <f t="shared" si="4"/>
        <v>0</v>
      </c>
      <c r="J55" s="395">
        <f t="shared" si="4"/>
        <v>0</v>
      </c>
      <c r="K55" s="395">
        <f t="shared" si="4"/>
        <v>0</v>
      </c>
      <c r="L55" s="395">
        <f t="shared" si="4"/>
        <v>0</v>
      </c>
      <c r="M55" s="292">
        <f t="shared" si="4"/>
        <v>0</v>
      </c>
    </row>
    <row r="56" spans="1:13" ht="4.5" customHeight="1" x14ac:dyDescent="0.25">
      <c r="A56" s="359"/>
      <c r="B56" s="83"/>
      <c r="C56" s="83"/>
      <c r="D56" s="83"/>
      <c r="E56" s="83"/>
      <c r="F56" s="174"/>
      <c r="G56" s="631"/>
      <c r="H56" s="174"/>
      <c r="I56" s="174"/>
      <c r="J56" s="174"/>
      <c r="K56" s="174"/>
      <c r="L56" s="174"/>
      <c r="M56" s="175"/>
    </row>
    <row r="57" spans="1:13" x14ac:dyDescent="0.25">
      <c r="A57" s="359"/>
      <c r="B57" s="533" t="s">
        <v>61</v>
      </c>
      <c r="C57" s="533"/>
      <c r="D57" s="63"/>
      <c r="E57" s="171"/>
      <c r="F57" s="171"/>
      <c r="G57" s="639"/>
      <c r="H57" s="171"/>
      <c r="I57" s="171"/>
      <c r="J57" s="171"/>
      <c r="K57" s="171"/>
      <c r="L57" s="171"/>
      <c r="M57" s="640"/>
    </row>
    <row r="58" spans="1:13" x14ac:dyDescent="0.25">
      <c r="A58" s="359"/>
      <c r="B58" s="18" t="s">
        <v>62</v>
      </c>
      <c r="C58" s="18" t="s">
        <v>31</v>
      </c>
      <c r="D58" s="20"/>
      <c r="E58" s="170"/>
      <c r="F58" s="170"/>
      <c r="G58" s="642"/>
      <c r="H58" s="170"/>
      <c r="I58" s="170"/>
      <c r="J58" s="170"/>
      <c r="K58" s="170"/>
      <c r="L58" s="170"/>
      <c r="M58" s="637"/>
    </row>
    <row r="59" spans="1:13" x14ac:dyDescent="0.25">
      <c r="A59" s="359"/>
      <c r="B59" s="21" t="s">
        <v>63</v>
      </c>
      <c r="C59" s="77" t="s">
        <v>33</v>
      </c>
      <c r="D59" s="293"/>
      <c r="E59" s="293"/>
      <c r="F59" s="293"/>
      <c r="G59" s="628"/>
      <c r="H59" s="293"/>
      <c r="I59" s="293"/>
      <c r="J59" s="293"/>
      <c r="K59" s="293"/>
      <c r="L59" s="293"/>
      <c r="M59" s="634"/>
    </row>
    <row r="60" spans="1:13" x14ac:dyDescent="0.25">
      <c r="A60" s="359"/>
      <c r="B60" s="21" t="s">
        <v>64</v>
      </c>
      <c r="C60" s="77" t="s">
        <v>33</v>
      </c>
      <c r="D60" s="294"/>
      <c r="E60" s="294"/>
      <c r="F60" s="293"/>
      <c r="G60" s="296"/>
      <c r="H60" s="294"/>
      <c r="I60" s="294"/>
      <c r="J60" s="294"/>
      <c r="K60" s="294"/>
      <c r="L60" s="294"/>
      <c r="M60" s="634"/>
    </row>
    <row r="61" spans="1:13" x14ac:dyDescent="0.25">
      <c r="A61" s="359"/>
      <c r="B61" s="21" t="s">
        <v>65</v>
      </c>
      <c r="C61" s="77"/>
      <c r="D61" s="293"/>
      <c r="E61" s="293"/>
      <c r="F61" s="293"/>
      <c r="G61" s="628"/>
      <c r="H61" s="293"/>
      <c r="I61" s="293"/>
      <c r="J61" s="293"/>
      <c r="K61" s="293"/>
      <c r="L61" s="293"/>
      <c r="M61" s="634"/>
    </row>
    <row r="62" spans="1:13" x14ac:dyDescent="0.25">
      <c r="A62" s="359"/>
      <c r="B62" s="21" t="s">
        <v>66</v>
      </c>
      <c r="C62" s="77"/>
      <c r="D62" s="293"/>
      <c r="E62" s="293"/>
      <c r="F62" s="293"/>
      <c r="G62" s="628"/>
      <c r="H62" s="293"/>
      <c r="I62" s="293"/>
      <c r="J62" s="293"/>
      <c r="K62" s="293"/>
      <c r="L62" s="293"/>
      <c r="M62" s="634"/>
    </row>
    <row r="63" spans="1:13" x14ac:dyDescent="0.25">
      <c r="A63" s="359"/>
      <c r="B63" s="21" t="s">
        <v>67</v>
      </c>
      <c r="C63" s="77" t="s">
        <v>33</v>
      </c>
      <c r="D63" s="293"/>
      <c r="E63" s="293"/>
      <c r="F63" s="293"/>
      <c r="G63" s="628"/>
      <c r="H63" s="293"/>
      <c r="I63" s="293"/>
      <c r="J63" s="293"/>
      <c r="K63" s="293"/>
      <c r="L63" s="293"/>
      <c r="M63" s="634"/>
    </row>
    <row r="64" spans="1:13" x14ac:dyDescent="0.25">
      <c r="A64" s="359"/>
      <c r="B64" s="21" t="s">
        <v>39</v>
      </c>
      <c r="C64" s="77"/>
      <c r="D64" s="293"/>
      <c r="E64" s="293"/>
      <c r="F64" s="293"/>
      <c r="G64" s="628"/>
      <c r="H64" s="293"/>
      <c r="I64" s="293"/>
      <c r="J64" s="293"/>
      <c r="K64" s="293"/>
      <c r="L64" s="293"/>
      <c r="M64" s="634"/>
    </row>
    <row r="65" spans="1:13" x14ac:dyDescent="0.25">
      <c r="A65" s="359"/>
      <c r="B65" s="21" t="s">
        <v>272</v>
      </c>
      <c r="C65" s="77"/>
      <c r="D65" s="293"/>
      <c r="E65" s="293"/>
      <c r="F65" s="293"/>
      <c r="G65" s="628"/>
      <c r="H65" s="293"/>
      <c r="I65" s="293"/>
      <c r="J65" s="293"/>
      <c r="K65" s="293"/>
      <c r="L65" s="293"/>
      <c r="M65" s="634"/>
    </row>
    <row r="66" spans="1:13" x14ac:dyDescent="0.25">
      <c r="A66" s="359"/>
      <c r="B66" s="21" t="s">
        <v>68</v>
      </c>
      <c r="C66" s="77" t="s">
        <v>33</v>
      </c>
      <c r="D66" s="293"/>
      <c r="E66" s="293"/>
      <c r="F66" s="293"/>
      <c r="G66" s="628"/>
      <c r="H66" s="293"/>
      <c r="I66" s="293"/>
      <c r="J66" s="293"/>
      <c r="K66" s="397"/>
      <c r="L66" s="293"/>
      <c r="M66" s="634"/>
    </row>
    <row r="67" spans="1:13" ht="21" x14ac:dyDescent="0.25">
      <c r="A67" s="359"/>
      <c r="B67" s="86"/>
      <c r="C67" s="19" t="s">
        <v>42</v>
      </c>
      <c r="D67" s="288">
        <f>SUM(D59:D66)</f>
        <v>0</v>
      </c>
      <c r="E67" s="289">
        <f>SUM(E59:E66)</f>
        <v>0</v>
      </c>
      <c r="F67" s="399">
        <f>SUM(F59:F66)</f>
        <v>0</v>
      </c>
      <c r="G67" s="635">
        <f t="shared" ref="G67:J67" si="5">SUM(G59:G66)</f>
        <v>0</v>
      </c>
      <c r="H67" s="399">
        <f t="shared" si="5"/>
        <v>0</v>
      </c>
      <c r="I67" s="399">
        <f t="shared" si="5"/>
        <v>0</v>
      </c>
      <c r="J67" s="399">
        <f t="shared" si="5"/>
        <v>0</v>
      </c>
      <c r="K67" s="398">
        <f>SUM(K59:K66)</f>
        <v>0</v>
      </c>
      <c r="L67" s="396">
        <f>SUM(L59:L66)</f>
        <v>0</v>
      </c>
      <c r="M67" s="290">
        <f>SUM(M59:M66)</f>
        <v>0</v>
      </c>
    </row>
    <row r="68" spans="1:13" ht="4.5" customHeight="1" x14ac:dyDescent="0.25">
      <c r="A68" s="359"/>
      <c r="B68"/>
      <c r="C68"/>
      <c r="D68"/>
      <c r="E68"/>
      <c r="F68" s="48"/>
      <c r="G68" s="47"/>
      <c r="H68" s="48"/>
      <c r="I68" s="48"/>
      <c r="J68" s="48"/>
      <c r="K68" s="48"/>
      <c r="L68" s="48"/>
      <c r="M68" s="49"/>
    </row>
    <row r="69" spans="1:13" x14ac:dyDescent="0.25">
      <c r="A69" s="359"/>
      <c r="B69" s="18" t="s">
        <v>69</v>
      </c>
      <c r="C69" s="18" t="s">
        <v>33</v>
      </c>
      <c r="D69" s="20"/>
      <c r="E69" s="170"/>
      <c r="F69" s="170"/>
      <c r="G69" s="642"/>
      <c r="H69" s="170"/>
      <c r="I69" s="170"/>
      <c r="J69" s="170"/>
      <c r="K69" s="170"/>
      <c r="L69" s="170"/>
      <c r="M69" s="637"/>
    </row>
    <row r="70" spans="1:13" x14ac:dyDescent="0.25">
      <c r="A70" s="359"/>
      <c r="B70" s="21" t="s">
        <v>70</v>
      </c>
      <c r="C70" s="77"/>
      <c r="D70" s="293"/>
      <c r="E70" s="293"/>
      <c r="F70" s="293"/>
      <c r="G70" s="628"/>
      <c r="H70" s="293"/>
      <c r="I70" s="293"/>
      <c r="J70" s="293"/>
      <c r="K70" s="293"/>
      <c r="L70" s="293"/>
      <c r="M70" s="634"/>
    </row>
    <row r="71" spans="1:13" x14ac:dyDescent="0.25">
      <c r="A71" s="359"/>
      <c r="B71" s="21" t="s">
        <v>66</v>
      </c>
      <c r="C71" s="77" t="s">
        <v>33</v>
      </c>
      <c r="D71" s="293"/>
      <c r="E71" s="293"/>
      <c r="F71" s="293"/>
      <c r="G71" s="628"/>
      <c r="H71" s="293"/>
      <c r="I71" s="293"/>
      <c r="J71" s="293"/>
      <c r="K71" s="293"/>
      <c r="L71" s="293"/>
      <c r="M71" s="634"/>
    </row>
    <row r="72" spans="1:13" x14ac:dyDescent="0.25">
      <c r="A72" s="359"/>
      <c r="B72" s="21" t="s">
        <v>71</v>
      </c>
      <c r="C72" s="77" t="s">
        <v>33</v>
      </c>
      <c r="D72" s="293"/>
      <c r="E72" s="293"/>
      <c r="F72" s="293"/>
      <c r="G72" s="628"/>
      <c r="H72" s="293"/>
      <c r="I72" s="293"/>
      <c r="J72" s="293"/>
      <c r="K72" s="293"/>
      <c r="L72" s="293"/>
      <c r="M72" s="634"/>
    </row>
    <row r="73" spans="1:13" x14ac:dyDescent="0.25">
      <c r="A73" s="359"/>
      <c r="B73" s="21" t="s">
        <v>46</v>
      </c>
      <c r="C73" s="77" t="s">
        <v>33</v>
      </c>
      <c r="D73" s="293"/>
      <c r="E73" s="293"/>
      <c r="F73" s="293"/>
      <c r="G73" s="628"/>
      <c r="H73" s="293"/>
      <c r="I73" s="293"/>
      <c r="J73" s="293"/>
      <c r="K73" s="293"/>
      <c r="L73" s="293"/>
      <c r="M73" s="634"/>
    </row>
    <row r="74" spans="1:13" x14ac:dyDescent="0.25">
      <c r="A74" s="359"/>
      <c r="B74" s="21" t="s">
        <v>267</v>
      </c>
      <c r="C74" s="77"/>
      <c r="D74" s="293"/>
      <c r="E74" s="293"/>
      <c r="F74" s="293"/>
      <c r="G74" s="628"/>
      <c r="H74" s="293"/>
      <c r="I74" s="293"/>
      <c r="J74" s="293"/>
      <c r="K74" s="293"/>
      <c r="L74" s="293"/>
      <c r="M74" s="634"/>
    </row>
    <row r="75" spans="1:13" x14ac:dyDescent="0.25">
      <c r="A75" s="359"/>
      <c r="B75" s="21" t="s">
        <v>64</v>
      </c>
      <c r="C75" s="77" t="s">
        <v>33</v>
      </c>
      <c r="D75" s="293"/>
      <c r="E75" s="293"/>
      <c r="F75" s="293"/>
      <c r="G75" s="628"/>
      <c r="H75" s="293"/>
      <c r="I75" s="293"/>
      <c r="J75" s="293"/>
      <c r="K75" s="293"/>
      <c r="L75" s="293"/>
      <c r="M75" s="634"/>
    </row>
    <row r="76" spans="1:13" x14ac:dyDescent="0.25">
      <c r="A76" s="359"/>
      <c r="B76" s="21" t="s">
        <v>65</v>
      </c>
      <c r="C76" s="77"/>
      <c r="D76" s="293"/>
      <c r="E76" s="293"/>
      <c r="F76" s="293"/>
      <c r="G76" s="628"/>
      <c r="H76" s="293"/>
      <c r="I76" s="293"/>
      <c r="J76" s="293"/>
      <c r="K76" s="293"/>
      <c r="L76" s="293"/>
      <c r="M76" s="634"/>
    </row>
    <row r="77" spans="1:13" x14ac:dyDescent="0.25">
      <c r="A77" s="359"/>
      <c r="B77" s="21" t="s">
        <v>68</v>
      </c>
      <c r="C77" s="77" t="s">
        <v>33</v>
      </c>
      <c r="D77" s="293"/>
      <c r="E77" s="293"/>
      <c r="F77" s="293"/>
      <c r="G77" s="628"/>
      <c r="H77" s="293"/>
      <c r="I77" s="293"/>
      <c r="J77" s="293"/>
      <c r="K77" s="293"/>
      <c r="L77" s="293"/>
      <c r="M77" s="634"/>
    </row>
    <row r="78" spans="1:13" x14ac:dyDescent="0.25">
      <c r="A78" s="359"/>
      <c r="B78" s="21" t="s">
        <v>39</v>
      </c>
      <c r="C78" s="77" t="s">
        <v>33</v>
      </c>
      <c r="D78" s="293"/>
      <c r="E78" s="293"/>
      <c r="F78" s="293"/>
      <c r="G78" s="628"/>
      <c r="H78" s="293"/>
      <c r="I78" s="293"/>
      <c r="J78" s="293"/>
      <c r="K78" s="293"/>
      <c r="L78" s="293"/>
      <c r="M78" s="634"/>
    </row>
    <row r="79" spans="1:13" x14ac:dyDescent="0.25">
      <c r="A79" s="359"/>
      <c r="B79" s="21" t="s">
        <v>72</v>
      </c>
      <c r="C79" s="77" t="s">
        <v>33</v>
      </c>
      <c r="D79" s="293"/>
      <c r="E79" s="293"/>
      <c r="F79" s="293"/>
      <c r="G79" s="628"/>
      <c r="H79" s="293"/>
      <c r="I79" s="293"/>
      <c r="J79" s="293"/>
      <c r="K79" s="293"/>
      <c r="L79" s="293"/>
      <c r="M79" s="634"/>
    </row>
    <row r="80" spans="1:13" x14ac:dyDescent="0.25">
      <c r="A80" s="359"/>
      <c r="B80" s="21" t="s">
        <v>73</v>
      </c>
      <c r="C80" s="77" t="s">
        <v>33</v>
      </c>
      <c r="D80" s="293"/>
      <c r="E80" s="293"/>
      <c r="F80" s="293"/>
      <c r="G80" s="628"/>
      <c r="H80" s="293"/>
      <c r="I80" s="293"/>
      <c r="J80" s="293"/>
      <c r="K80" s="293"/>
      <c r="L80" s="293"/>
      <c r="M80" s="634"/>
    </row>
    <row r="81" spans="1:13" x14ac:dyDescent="0.25">
      <c r="A81" s="359"/>
      <c r="B81" s="87"/>
      <c r="C81" s="15" t="s">
        <v>42</v>
      </c>
      <c r="D81" s="288">
        <f>SUM(D70:D80)</f>
        <v>0</v>
      </c>
      <c r="E81" s="289">
        <f>SUM(E70:E80)</f>
        <v>0</v>
      </c>
      <c r="F81" s="289">
        <f>SUM(F70:F80)</f>
        <v>0</v>
      </c>
      <c r="G81" s="643">
        <f t="shared" ref="G81:J81" si="6">SUM(G70:G80)</f>
        <v>0</v>
      </c>
      <c r="H81" s="289">
        <f t="shared" si="6"/>
        <v>0</v>
      </c>
      <c r="I81" s="289">
        <f t="shared" si="6"/>
        <v>0</v>
      </c>
      <c r="J81" s="289">
        <f t="shared" si="6"/>
        <v>0</v>
      </c>
      <c r="K81" s="289">
        <f>SUM(K70:K80)</f>
        <v>0</v>
      </c>
      <c r="L81" s="289">
        <f>SUM(L70:L80)</f>
        <v>0</v>
      </c>
      <c r="M81" s="290">
        <f>SUM(M70:M80)</f>
        <v>0</v>
      </c>
    </row>
    <row r="82" spans="1:13" ht="4.5" customHeight="1" x14ac:dyDescent="0.25">
      <c r="A82" s="359"/>
      <c r="B82" s="83"/>
      <c r="C82" s="83"/>
      <c r="D82" s="295"/>
      <c r="E82" s="295"/>
      <c r="F82" s="295"/>
      <c r="G82" s="644"/>
      <c r="H82" s="645"/>
      <c r="I82" s="645"/>
      <c r="J82" s="645"/>
      <c r="K82" s="645"/>
      <c r="L82" s="645"/>
      <c r="M82" s="646"/>
    </row>
    <row r="83" spans="1:13" x14ac:dyDescent="0.25">
      <c r="A83" s="359"/>
      <c r="B83" s="87"/>
      <c r="C83" s="15" t="s">
        <v>74</v>
      </c>
      <c r="D83" s="291">
        <f>D81+D67</f>
        <v>0</v>
      </c>
      <c r="E83" s="287">
        <f>E81+E67</f>
        <v>0</v>
      </c>
      <c r="F83" s="287">
        <f>F81+F67</f>
        <v>0</v>
      </c>
      <c r="G83" s="647">
        <f t="shared" ref="G83:J83" si="7">G81+G67</f>
        <v>0</v>
      </c>
      <c r="H83" s="287">
        <f t="shared" si="7"/>
        <v>0</v>
      </c>
      <c r="I83" s="287">
        <f t="shared" si="7"/>
        <v>0</v>
      </c>
      <c r="J83" s="287">
        <f t="shared" si="7"/>
        <v>0</v>
      </c>
      <c r="K83" s="287">
        <f>K81+K67</f>
        <v>0</v>
      </c>
      <c r="L83" s="287">
        <f>L81+L67</f>
        <v>0</v>
      </c>
      <c r="M83" s="292">
        <f>M81+M67</f>
        <v>0</v>
      </c>
    </row>
    <row r="84" spans="1:13" ht="4.5" customHeight="1" x14ac:dyDescent="0.25">
      <c r="A84" s="359"/>
      <c r="B84" s="83"/>
      <c r="C84" s="83"/>
      <c r="D84" s="295"/>
      <c r="E84" s="295"/>
      <c r="F84" s="295"/>
      <c r="G84" s="644"/>
      <c r="H84" s="645"/>
      <c r="I84" s="645"/>
      <c r="J84" s="645"/>
      <c r="K84" s="645"/>
      <c r="L84" s="645"/>
      <c r="M84" s="646"/>
    </row>
    <row r="85" spans="1:13" x14ac:dyDescent="0.25">
      <c r="A85" s="359"/>
      <c r="B85" s="87"/>
      <c r="C85" s="15" t="s">
        <v>75</v>
      </c>
      <c r="D85" s="291">
        <f>D55+D83</f>
        <v>0</v>
      </c>
      <c r="E85" s="287">
        <f>E55+E83</f>
        <v>0</v>
      </c>
      <c r="F85" s="287">
        <f>F55+F83</f>
        <v>0</v>
      </c>
      <c r="G85" s="648">
        <f t="shared" ref="G85:J85" si="8">G55+G83</f>
        <v>0</v>
      </c>
      <c r="H85" s="649">
        <f t="shared" si="8"/>
        <v>0</v>
      </c>
      <c r="I85" s="649">
        <f t="shared" si="8"/>
        <v>0</v>
      </c>
      <c r="J85" s="649">
        <f t="shared" si="8"/>
        <v>0</v>
      </c>
      <c r="K85" s="649">
        <f>K55+K83</f>
        <v>0</v>
      </c>
      <c r="L85" s="649">
        <f>L55+L83</f>
        <v>0</v>
      </c>
      <c r="M85" s="650">
        <f>M55+M83</f>
        <v>0</v>
      </c>
    </row>
    <row r="86" spans="1:13" x14ac:dyDescent="0.25">
      <c r="B86"/>
      <c r="C86"/>
      <c r="D86"/>
      <c r="E86"/>
      <c r="F86"/>
      <c r="G86"/>
      <c r="H86"/>
      <c r="I86"/>
      <c r="J86"/>
      <c r="K86"/>
      <c r="L86"/>
      <c r="M86"/>
    </row>
    <row r="87" spans="1:13" x14ac:dyDescent="0.25">
      <c r="A87" s="598">
        <f>+SUM(D87:M87)</f>
        <v>0</v>
      </c>
      <c r="B87" s="282" t="s">
        <v>252</v>
      </c>
      <c r="C87" s="48"/>
      <c r="D87" s="284">
        <f>+D85-Ativo_2022</f>
        <v>0</v>
      </c>
      <c r="E87" s="283">
        <f>+E85-Ativo_P2023</f>
        <v>0</v>
      </c>
      <c r="F87" s="283">
        <f>+F85-Ativo_2023</f>
        <v>0</v>
      </c>
      <c r="G87" s="283">
        <f>+G85-Ativo_2024_1T</f>
        <v>0</v>
      </c>
      <c r="H87" s="283">
        <f>+H85-Ativo_2024_2T</f>
        <v>0</v>
      </c>
      <c r="I87" s="283">
        <f>+I85-Ativo_2024_3T</f>
        <v>0</v>
      </c>
      <c r="J87" s="283">
        <f>+J85-Ativo_2024_4T</f>
        <v>0</v>
      </c>
      <c r="K87" s="283">
        <f>+K85-Ativo_2024</f>
        <v>0</v>
      </c>
      <c r="L87" s="283">
        <f>+L85-Ativo_2025</f>
        <v>0</v>
      </c>
      <c r="M87" s="283">
        <f>+M85-Ativo_2026</f>
        <v>0</v>
      </c>
    </row>
    <row r="88" spans="1:13" x14ac:dyDescent="0.25">
      <c r="B88"/>
      <c r="C88"/>
    </row>
    <row r="89" spans="1:13" ht="12.75" hidden="1" customHeight="1" x14ac:dyDescent="0.25"/>
  </sheetData>
  <sheetProtection sheet="1" selectLockedCells="1"/>
  <mergeCells count="6">
    <mergeCell ref="B57:C57"/>
    <mergeCell ref="B1:M1"/>
    <mergeCell ref="B5:B6"/>
    <mergeCell ref="C5:C6"/>
    <mergeCell ref="B42:C42"/>
    <mergeCell ref="B8:C8"/>
  </mergeCells>
  <dataValidations count="7">
    <dataValidation type="decimal" allowBlank="1" showInputMessage="1" showErrorMessage="1" errorTitle="Validação" error="Introduzir nº decimal" sqref="D11:M22 D59:M66 D43:M54 D26:M38 D70:M80" xr:uid="{DD523C95-FD65-452F-8947-A73DA902D136}">
      <formula1>-1E+22</formula1>
      <formula2>1E+22</formula2>
    </dataValidation>
    <dataValidation type="custom" allowBlank="1" showInputMessage="1" showErrorMessage="1" errorTitle="Erro" error="Não introduzir dados nesta célua_x000a_" sqref="B7:M9 N41:N54 N59:N66 N70:N80 B23:M25 N7:N10 B39:M42" xr:uid="{0FE542EC-2C7D-4D8B-AB62-D70EAD927C50}">
      <formula1>"&lt;&gt;"""""</formula1>
    </dataValidation>
    <dataValidation type="custom" allowBlank="1" showInputMessage="1" showErrorMessage="1" errorTitle="Erro" error="Não introduzir dados nesta célula_x000a_" sqref="D3:J4 L5:L6 N11:N40 N3 B1:N2 M4:N6 B81:N85 D56:M58 K3:K6 A89:N1048576 A1:A85 N55:N58 B55:C58 B3:C6 B67:N69" xr:uid="{9D22FAB3-BCF3-4A51-A996-218A5381E1F8}">
      <formula1>"&lt;&gt;"""""</formula1>
    </dataValidation>
    <dataValidation type="custom" allowBlank="1" showInputMessage="1" showErrorMessage="1" errorTitle="Erro" error="Não introduzir dados nesta célula" sqref="L4" xr:uid="{6B3834B9-0BD2-4E29-AE73-9D263E024A13}">
      <formula1>"&lt;&gt;"""""</formula1>
    </dataValidation>
    <dataValidation allowBlank="1" showInputMessage="1" showErrorMessage="1" errorTitle="Erro" error="Não introduzir dados nesta célula_x000a_" sqref="B86 D5:F6 A86:A87 D55:M55 F88:XFD88 A88:D88 C86:XFD87" xr:uid="{4861466A-AE2D-49EE-BE45-7DDF6508DB5F}"/>
    <dataValidation allowBlank="1" showInputMessage="1" showErrorMessage="1" errorTitle="Erro" error="Não introduzir dados nesta célula" sqref="B87" xr:uid="{0653ECA3-BA7F-4EA4-9A18-C0ED8BBEE28D}"/>
    <dataValidation type="textLength" showInputMessage="1" showErrorMessage="1" errorTitle="Erro" error="Não introduzir dados nesta célula_x000a_" sqref="E88" xr:uid="{DC37DD69-2FA0-411B-99F6-96EBDD97EB5B}">
      <formula1>0</formula1>
      <formula2>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E46A2-7D68-4F4B-9837-73E5973D47A3}">
  <sheetPr>
    <tabColor theme="5" tint="0.59999389629810485"/>
    <pageSetUpPr fitToPage="1"/>
  </sheetPr>
  <dimension ref="A1:N47"/>
  <sheetViews>
    <sheetView showGridLines="0" zoomScaleNormal="100" workbookViewId="0">
      <pane ySplit="6" topLeftCell="A19" activePane="bottomLeft" state="frozen"/>
      <selection activeCell="G18" sqref="G18"/>
      <selection pane="bottomLeft" activeCell="D47" sqref="D47"/>
    </sheetView>
  </sheetViews>
  <sheetFormatPr defaultColWidth="0" defaultRowHeight="15" zeroHeight="1" outlineLevelCol="1" x14ac:dyDescent="0.25"/>
  <cols>
    <col min="1" max="1" width="8.42578125" style="597" bestFit="1" customWidth="1"/>
    <col min="2" max="2" width="52.140625" customWidth="1"/>
    <col min="3" max="3" width="9.140625" customWidth="1"/>
    <col min="4" max="6" width="19.7109375" customWidth="1"/>
    <col min="7" max="10" width="19.7109375" customWidth="1" outlineLevel="1"/>
    <col min="11" max="13" width="19.7109375" customWidth="1"/>
    <col min="14" max="14" width="6.5703125" customWidth="1"/>
    <col min="15" max="16384" width="9.140625" hidden="1"/>
  </cols>
  <sheetData>
    <row r="1" spans="1:13" x14ac:dyDescent="0.25">
      <c r="A1" s="359"/>
      <c r="B1" s="534" t="str">
        <f>IF(Instruções!C4="","",Instruções!C4)</f>
        <v/>
      </c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</row>
    <row r="2" spans="1:13" x14ac:dyDescent="0.25">
      <c r="A2" s="359"/>
    </row>
    <row r="3" spans="1:13" ht="15" customHeight="1" x14ac:dyDescent="0.25">
      <c r="A3" s="360"/>
      <c r="B3" s="25" t="s">
        <v>24</v>
      </c>
      <c r="C3" s="2"/>
      <c r="D3" s="1"/>
      <c r="E3" s="1"/>
      <c r="F3" s="1"/>
      <c r="G3" s="1"/>
      <c r="H3" s="1"/>
      <c r="I3" s="1"/>
      <c r="J3" s="1"/>
      <c r="K3" s="1"/>
    </row>
    <row r="4" spans="1:13" ht="15" customHeight="1" x14ac:dyDescent="0.25">
      <c r="A4" s="360"/>
      <c r="B4" s="3"/>
      <c r="C4" s="2"/>
      <c r="D4" s="1"/>
      <c r="E4" s="1"/>
      <c r="F4" s="1"/>
      <c r="G4" s="1"/>
      <c r="H4" s="1"/>
      <c r="I4" s="1"/>
      <c r="J4" s="1"/>
      <c r="K4" s="1"/>
      <c r="L4" s="27" t="s">
        <v>151</v>
      </c>
      <c r="M4" s="26"/>
    </row>
    <row r="5" spans="1:13" ht="15" customHeight="1" x14ac:dyDescent="0.25">
      <c r="A5" s="359"/>
      <c r="B5" s="535" t="s">
        <v>1</v>
      </c>
      <c r="C5" s="536" t="s">
        <v>2</v>
      </c>
      <c r="D5" s="10">
        <f>IF(Instruções!C7="","",IF(ISERROR(Instruções!C7),"",Instruções!C7-1))</f>
        <v>2022</v>
      </c>
      <c r="E5" s="45">
        <f>IF(Instruções!$C$7="","",IF(ISERROR(Instruções!$C$7),"",Instruções!$C$7))</f>
        <v>2023</v>
      </c>
      <c r="F5" s="45">
        <f>IF(Instruções!$C$7="","",IF(ISERROR(Instruções!$C$7),"",Instruções!$C$7))</f>
        <v>2023</v>
      </c>
      <c r="G5" s="51" t="str">
        <f>IF(Instruções!$C$7="","",IF(ISERROR(Instruções!$C$7),"","1ºT"&amp;Instruções!$C$7+1))</f>
        <v>1ºT2024</v>
      </c>
      <c r="H5" s="51" t="str">
        <f>IF(Instruções!$C$7="","",IF(ISERROR(Instruções!$C$7),"","2ºT"&amp;Instruções!$C$7+1))</f>
        <v>2ºT2024</v>
      </c>
      <c r="I5" s="51" t="str">
        <f>IF(Instruções!$C$7="","",IF(ISERROR(Instruções!$C$7),"","3ºT"&amp;Instruções!$C$7+1))</f>
        <v>3ºT2024</v>
      </c>
      <c r="J5" s="51" t="str">
        <f>IF(Instruções!$C$7="","",IF(ISERROR(Instruções!$C$7),"","4ºT"&amp;Instruções!$C$7+1))</f>
        <v>4ºT2024</v>
      </c>
      <c r="K5" s="51">
        <f>IF(Instruções!C7="","",IF(ISERROR(Instruções!C7),"",Instruções!C7+1))</f>
        <v>2024</v>
      </c>
      <c r="L5" s="52">
        <f>IF(Instruções!C7="","",IF(ISERROR(Instruções!C7),"",Instruções!C7+2))</f>
        <v>2025</v>
      </c>
      <c r="M5" s="53">
        <f>IF(Instruções!C7="","",IF(ISERROR(Instruções!C7),"",Instruções!C7+3))</f>
        <v>2026</v>
      </c>
    </row>
    <row r="6" spans="1:13" ht="15" customHeight="1" x14ac:dyDescent="0.25">
      <c r="A6" s="359"/>
      <c r="B6" s="535"/>
      <c r="C6" s="536"/>
      <c r="D6" s="11" t="str">
        <f>IF(D5="","","Execução")</f>
        <v>Execução</v>
      </c>
      <c r="E6" s="46" t="str">
        <f>IF(D5="","","PAO")</f>
        <v>PAO</v>
      </c>
      <c r="F6" s="46" t="str">
        <f>IF(D5="","","Estimativa")</f>
        <v>Estimativa</v>
      </c>
      <c r="G6" s="54" t="str">
        <f>IF($F$5="","","Previsão")</f>
        <v>Previsão</v>
      </c>
      <c r="H6" s="54" t="str">
        <f t="shared" ref="H6:J6" si="0">IF($F$5="","","Previsão")</f>
        <v>Previsão</v>
      </c>
      <c r="I6" s="54" t="str">
        <f t="shared" si="0"/>
        <v>Previsão</v>
      </c>
      <c r="J6" s="54" t="str">
        <f t="shared" si="0"/>
        <v>Previsão</v>
      </c>
      <c r="K6" s="54" t="str">
        <f>IF(F5="","","Previsão")</f>
        <v>Previsão</v>
      </c>
      <c r="L6" s="55" t="str">
        <f>IF(K5="","","Previsão")</f>
        <v>Previsão</v>
      </c>
      <c r="M6" s="56" t="str">
        <f>IF(L5="","","Previsão")</f>
        <v>Previsão</v>
      </c>
    </row>
    <row r="7" spans="1:13" ht="6.75" customHeight="1" x14ac:dyDescent="0.25">
      <c r="A7" s="359"/>
      <c r="B7" s="83"/>
      <c r="C7" s="83"/>
      <c r="G7" s="47"/>
      <c r="H7" s="47"/>
      <c r="I7" s="47"/>
      <c r="J7" s="47"/>
      <c r="K7" s="47"/>
      <c r="L7" s="48"/>
      <c r="M7" s="49"/>
    </row>
    <row r="8" spans="1:13" x14ac:dyDescent="0.25">
      <c r="A8" s="359"/>
      <c r="B8" s="21" t="s">
        <v>112</v>
      </c>
      <c r="C8" s="77"/>
      <c r="D8" s="269"/>
      <c r="E8" s="269"/>
      <c r="F8" s="616"/>
      <c r="G8" s="269"/>
      <c r="H8" s="269"/>
      <c r="I8" s="269"/>
      <c r="J8" s="269"/>
      <c r="K8" s="269"/>
      <c r="L8" s="269"/>
      <c r="M8" s="622"/>
    </row>
    <row r="9" spans="1:13" x14ac:dyDescent="0.25">
      <c r="A9" s="359"/>
      <c r="B9" s="21" t="s">
        <v>3</v>
      </c>
      <c r="C9" s="77"/>
      <c r="D9" s="269"/>
      <c r="E9" s="269"/>
      <c r="F9" s="616"/>
      <c r="G9" s="269"/>
      <c r="H9" s="269"/>
      <c r="I9" s="269"/>
      <c r="J9" s="269"/>
      <c r="K9" s="269"/>
      <c r="L9" s="269"/>
      <c r="M9" s="622"/>
    </row>
    <row r="10" spans="1:13" x14ac:dyDescent="0.25">
      <c r="A10" s="359"/>
      <c r="B10" s="21" t="s">
        <v>113</v>
      </c>
      <c r="C10" s="77"/>
      <c r="D10" s="269"/>
      <c r="E10" s="269"/>
      <c r="F10" s="616"/>
      <c r="G10" s="269"/>
      <c r="H10" s="269"/>
      <c r="I10" s="269"/>
      <c r="J10" s="269"/>
      <c r="K10" s="269"/>
      <c r="L10" s="269"/>
      <c r="M10" s="622"/>
    </row>
    <row r="11" spans="1:13" x14ac:dyDescent="0.25">
      <c r="A11" s="359"/>
      <c r="B11" s="21" t="s">
        <v>114</v>
      </c>
      <c r="C11" s="77"/>
      <c r="D11" s="269"/>
      <c r="E11" s="269"/>
      <c r="F11" s="616"/>
      <c r="G11" s="269"/>
      <c r="H11" s="269"/>
      <c r="I11" s="269"/>
      <c r="J11" s="269"/>
      <c r="K11" s="269"/>
      <c r="L11" s="269"/>
      <c r="M11" s="622"/>
    </row>
    <row r="12" spans="1:13" ht="21" x14ac:dyDescent="0.25">
      <c r="A12" s="359"/>
      <c r="B12" s="21" t="s">
        <v>4</v>
      </c>
      <c r="C12" s="77"/>
      <c r="D12" s="269"/>
      <c r="E12" s="269"/>
      <c r="F12" s="616"/>
      <c r="G12" s="269"/>
      <c r="H12" s="269"/>
      <c r="I12" s="269"/>
      <c r="J12" s="269"/>
      <c r="K12" s="269"/>
      <c r="L12" s="269"/>
      <c r="M12" s="622"/>
    </row>
    <row r="13" spans="1:13" x14ac:dyDescent="0.25">
      <c r="A13" s="359"/>
      <c r="B13" s="21" t="s">
        <v>5</v>
      </c>
      <c r="C13" s="77"/>
      <c r="D13" s="269"/>
      <c r="E13" s="269"/>
      <c r="F13" s="616"/>
      <c r="G13" s="269"/>
      <c r="H13" s="269"/>
      <c r="I13" s="269"/>
      <c r="J13" s="269"/>
      <c r="K13" s="269"/>
      <c r="L13" s="269"/>
      <c r="M13" s="622"/>
    </row>
    <row r="14" spans="1:13" x14ac:dyDescent="0.25">
      <c r="A14" s="359"/>
      <c r="B14" s="22" t="s">
        <v>6</v>
      </c>
      <c r="C14" s="84"/>
      <c r="D14" s="269"/>
      <c r="E14" s="269"/>
      <c r="F14" s="616"/>
      <c r="G14" s="269"/>
      <c r="H14" s="269"/>
      <c r="I14" s="269"/>
      <c r="J14" s="269"/>
      <c r="K14" s="269"/>
      <c r="L14" s="269"/>
      <c r="M14" s="622"/>
    </row>
    <row r="15" spans="1:13" x14ac:dyDescent="0.25">
      <c r="A15" s="359"/>
      <c r="B15" s="21" t="s">
        <v>7</v>
      </c>
      <c r="C15" s="77"/>
      <c r="D15" s="269"/>
      <c r="E15" s="269"/>
      <c r="F15" s="616"/>
      <c r="G15" s="269"/>
      <c r="H15" s="269"/>
      <c r="I15" s="269"/>
      <c r="J15" s="269"/>
      <c r="K15" s="269"/>
      <c r="L15" s="269"/>
      <c r="M15" s="622"/>
    </row>
    <row r="16" spans="1:13" x14ac:dyDescent="0.25">
      <c r="A16" s="359"/>
      <c r="B16" s="22" t="s">
        <v>8</v>
      </c>
      <c r="C16" s="84"/>
      <c r="D16" s="269"/>
      <c r="E16" s="269"/>
      <c r="F16" s="616"/>
      <c r="G16" s="269"/>
      <c r="H16" s="269"/>
      <c r="I16" s="269"/>
      <c r="J16" s="269"/>
      <c r="K16" s="269"/>
      <c r="L16" s="269"/>
      <c r="M16" s="622"/>
    </row>
    <row r="17" spans="1:13" x14ac:dyDescent="0.25">
      <c r="A17" s="359"/>
      <c r="B17" s="21" t="s">
        <v>9</v>
      </c>
      <c r="C17" s="77"/>
      <c r="D17" s="269"/>
      <c r="E17" s="269"/>
      <c r="F17" s="616"/>
      <c r="G17" s="269"/>
      <c r="H17" s="269"/>
      <c r="I17" s="269"/>
      <c r="J17" s="269"/>
      <c r="K17" s="269"/>
      <c r="L17" s="269"/>
      <c r="M17" s="622"/>
    </row>
    <row r="18" spans="1:13" x14ac:dyDescent="0.25">
      <c r="A18" s="359"/>
      <c r="B18" s="21" t="s">
        <v>10</v>
      </c>
      <c r="C18" s="77"/>
      <c r="D18" s="269"/>
      <c r="E18" s="269"/>
      <c r="F18" s="616"/>
      <c r="G18" s="269"/>
      <c r="H18" s="269"/>
      <c r="I18" s="269"/>
      <c r="J18" s="269"/>
      <c r="K18" s="269"/>
      <c r="L18" s="269"/>
      <c r="M18" s="622"/>
    </row>
    <row r="19" spans="1:13" x14ac:dyDescent="0.25">
      <c r="A19" s="359"/>
      <c r="B19" s="21" t="s">
        <v>11</v>
      </c>
      <c r="C19" s="77"/>
      <c r="D19" s="269"/>
      <c r="E19" s="269"/>
      <c r="F19" s="616"/>
      <c r="G19" s="269"/>
      <c r="H19" s="269"/>
      <c r="I19" s="269"/>
      <c r="J19" s="269"/>
      <c r="K19" s="269"/>
      <c r="L19" s="269"/>
      <c r="M19" s="622"/>
    </row>
    <row r="20" spans="1:13" x14ac:dyDescent="0.25">
      <c r="A20" s="359"/>
      <c r="B20" s="21" t="s">
        <v>12</v>
      </c>
      <c r="C20" s="77"/>
      <c r="D20" s="269"/>
      <c r="E20" s="269"/>
      <c r="F20" s="616"/>
      <c r="G20" s="269"/>
      <c r="H20" s="269"/>
      <c r="I20" s="269"/>
      <c r="J20" s="269"/>
      <c r="K20" s="269"/>
      <c r="L20" s="269"/>
      <c r="M20" s="622"/>
    </row>
    <row r="21" spans="1:13" x14ac:dyDescent="0.25">
      <c r="A21" s="359"/>
      <c r="B21" s="21" t="s">
        <v>13</v>
      </c>
      <c r="C21" s="77"/>
      <c r="D21" s="269"/>
      <c r="E21" s="269"/>
      <c r="F21" s="616"/>
      <c r="G21" s="269"/>
      <c r="H21" s="269"/>
      <c r="I21" s="269"/>
      <c r="J21" s="269"/>
      <c r="K21" s="269"/>
      <c r="L21" s="269"/>
      <c r="M21" s="622"/>
    </row>
    <row r="22" spans="1:13" x14ac:dyDescent="0.25">
      <c r="A22" s="359"/>
      <c r="B22" s="21" t="s">
        <v>14</v>
      </c>
      <c r="C22" s="77"/>
      <c r="D22" s="269"/>
      <c r="E22" s="269"/>
      <c r="F22" s="616"/>
      <c r="G22" s="269"/>
      <c r="H22" s="269"/>
      <c r="I22" s="269"/>
      <c r="J22" s="269"/>
      <c r="K22" s="269"/>
      <c r="L22" s="269"/>
      <c r="M22" s="622"/>
    </row>
    <row r="23" spans="1:13" ht="21" x14ac:dyDescent="0.25">
      <c r="A23" s="359"/>
      <c r="B23" s="21" t="s">
        <v>15</v>
      </c>
      <c r="C23" s="77"/>
      <c r="D23" s="269"/>
      <c r="E23" s="269"/>
      <c r="F23" s="616"/>
      <c r="G23" s="269"/>
      <c r="H23" s="269"/>
      <c r="I23" s="269"/>
      <c r="J23" s="269"/>
      <c r="K23" s="269"/>
      <c r="L23" s="269"/>
      <c r="M23" s="622"/>
    </row>
    <row r="24" spans="1:13" x14ac:dyDescent="0.25">
      <c r="A24" s="359"/>
      <c r="B24" s="21" t="s">
        <v>16</v>
      </c>
      <c r="C24" s="77"/>
      <c r="D24" s="269"/>
      <c r="E24" s="269"/>
      <c r="F24" s="616"/>
      <c r="G24" s="269"/>
      <c r="H24" s="269"/>
      <c r="I24" s="269"/>
      <c r="J24" s="269"/>
      <c r="K24" s="269"/>
      <c r="L24" s="269"/>
      <c r="M24" s="622"/>
    </row>
    <row r="25" spans="1:13" x14ac:dyDescent="0.25">
      <c r="A25" s="359"/>
      <c r="B25" s="21" t="s">
        <v>115</v>
      </c>
      <c r="C25" s="77"/>
      <c r="D25" s="269"/>
      <c r="E25" s="269"/>
      <c r="F25" s="616"/>
      <c r="G25" s="269"/>
      <c r="H25" s="269"/>
      <c r="I25" s="269"/>
      <c r="J25" s="269"/>
      <c r="K25" s="269"/>
      <c r="L25" s="269"/>
      <c r="M25" s="622"/>
    </row>
    <row r="26" spans="1:13" x14ac:dyDescent="0.25">
      <c r="A26" s="359"/>
      <c r="B26" s="22" t="s">
        <v>116</v>
      </c>
      <c r="C26" s="84"/>
      <c r="D26" s="269"/>
      <c r="E26" s="269"/>
      <c r="F26" s="616"/>
      <c r="G26" s="269"/>
      <c r="H26" s="269"/>
      <c r="I26" s="269"/>
      <c r="J26" s="269"/>
      <c r="K26" s="269"/>
      <c r="L26" s="269"/>
      <c r="M26" s="622"/>
    </row>
    <row r="27" spans="1:13" ht="3.75" customHeight="1" x14ac:dyDescent="0.25">
      <c r="A27" s="359"/>
      <c r="B27" s="22"/>
      <c r="C27" s="22"/>
      <c r="D27" s="298"/>
      <c r="E27" s="299"/>
      <c r="F27" s="299"/>
      <c r="G27" s="300"/>
      <c r="H27" s="300"/>
      <c r="I27" s="300"/>
      <c r="J27" s="300"/>
      <c r="K27" s="300"/>
      <c r="L27" s="298"/>
      <c r="M27" s="301"/>
    </row>
    <row r="28" spans="1:13" ht="26.25" customHeight="1" x14ac:dyDescent="0.25">
      <c r="A28" s="359"/>
      <c r="B28" s="539" t="s">
        <v>312</v>
      </c>
      <c r="C28" s="539"/>
      <c r="D28" s="302" t="str">
        <f>IF(COUNT(D8:D26)=0,"",SUM(D8:D26))</f>
        <v/>
      </c>
      <c r="E28" s="302" t="str">
        <f>IF(COUNT(E8:E26)=0,"",SUM(E8:E26))</f>
        <v/>
      </c>
      <c r="F28" s="304" t="str">
        <f>IF(COUNT(F8:F26)=0,"",SUM(F8:F26))</f>
        <v/>
      </c>
      <c r="G28" s="624" t="str">
        <f t="shared" ref="G28:J28" si="1">IF(COUNT(G8:G26)=0,"",SUM(G8:G26))</f>
        <v/>
      </c>
      <c r="H28" s="302" t="str">
        <f t="shared" si="1"/>
        <v/>
      </c>
      <c r="I28" s="302" t="str">
        <f t="shared" si="1"/>
        <v/>
      </c>
      <c r="J28" s="302" t="str">
        <f t="shared" si="1"/>
        <v/>
      </c>
      <c r="K28" s="302" t="str">
        <f>IF(COUNT(K8:K26)=0,"",SUM(K8:K26))</f>
        <v/>
      </c>
      <c r="L28" s="302" t="str">
        <f>IF(COUNT(L8:L26)=0,"",SUM(L8:L26))</f>
        <v/>
      </c>
      <c r="M28" s="625" t="str">
        <f>IF(COUNT(M8:M26)=0,"",SUM(M8:M26))</f>
        <v/>
      </c>
    </row>
    <row r="29" spans="1:13" ht="4.5" customHeight="1" x14ac:dyDescent="0.25">
      <c r="A29" s="359"/>
      <c r="B29" s="21"/>
      <c r="C29" s="21"/>
      <c r="D29" s="298"/>
      <c r="E29" s="299"/>
      <c r="F29" s="299"/>
      <c r="G29" s="300"/>
      <c r="H29" s="300"/>
      <c r="I29" s="300"/>
      <c r="J29" s="300"/>
      <c r="K29" s="300"/>
      <c r="L29" s="298"/>
      <c r="M29" s="301"/>
    </row>
    <row r="30" spans="1:13" x14ac:dyDescent="0.25">
      <c r="A30" s="359"/>
      <c r="B30" s="21" t="s">
        <v>17</v>
      </c>
      <c r="C30" s="77"/>
      <c r="D30" s="269"/>
      <c r="E30" s="269"/>
      <c r="F30" s="616"/>
      <c r="G30" s="269"/>
      <c r="H30" s="269"/>
      <c r="I30" s="269"/>
      <c r="J30" s="269"/>
      <c r="K30" s="269"/>
      <c r="L30" s="269"/>
      <c r="M30" s="622"/>
    </row>
    <row r="31" spans="1:13" ht="21" x14ac:dyDescent="0.25">
      <c r="A31" s="359"/>
      <c r="B31" s="21" t="s">
        <v>18</v>
      </c>
      <c r="C31" s="77"/>
      <c r="D31" s="269"/>
      <c r="E31" s="269"/>
      <c r="F31" s="616"/>
      <c r="G31" s="269"/>
      <c r="H31" s="269"/>
      <c r="I31" s="269"/>
      <c r="J31" s="269"/>
      <c r="K31" s="269"/>
      <c r="L31" s="269"/>
      <c r="M31" s="622"/>
    </row>
    <row r="32" spans="1:13" ht="4.5" customHeight="1" x14ac:dyDescent="0.25">
      <c r="A32" s="359"/>
      <c r="B32" s="21"/>
      <c r="C32" s="21"/>
      <c r="D32" s="298"/>
      <c r="E32" s="299"/>
      <c r="F32" s="299"/>
      <c r="G32" s="300"/>
      <c r="H32" s="300"/>
      <c r="I32" s="300"/>
      <c r="J32" s="300"/>
      <c r="K32" s="300"/>
      <c r="L32" s="298"/>
      <c r="M32" s="301"/>
    </row>
    <row r="33" spans="1:13" x14ac:dyDescent="0.25">
      <c r="A33" s="359"/>
      <c r="B33" s="539" t="s">
        <v>313</v>
      </c>
      <c r="C33" s="539"/>
      <c r="D33" s="302" t="str">
        <f>IF(COUNT(D28,D30:D31)=0,"",SUM(D28,D30:D31))</f>
        <v/>
      </c>
      <c r="E33" s="302" t="str">
        <f>IF(COUNT(E28,E30:E31)=0,"",SUM(E28,E30:E31))</f>
        <v/>
      </c>
      <c r="F33" s="304" t="str">
        <f>IF(COUNT(F28,F30:F31)=0,"",SUM(F28,F30:F31))</f>
        <v/>
      </c>
      <c r="G33" s="624" t="str">
        <f t="shared" ref="G33:J33" si="2">IF(COUNT(G28,G30:G31)=0,"",SUM(G28,G30:G31))</f>
        <v/>
      </c>
      <c r="H33" s="302" t="str">
        <f t="shared" si="2"/>
        <v/>
      </c>
      <c r="I33" s="302" t="str">
        <f t="shared" si="2"/>
        <v/>
      </c>
      <c r="J33" s="302" t="str">
        <f t="shared" si="2"/>
        <v/>
      </c>
      <c r="K33" s="302" t="str">
        <f>IF(COUNT(K28,K30:K31)=0,"",SUM(K28,K30:K31))</f>
        <v/>
      </c>
      <c r="L33" s="302" t="str">
        <f>IF(COUNT(L28,L30:L31)=0,"",SUM(L28,L30:L31))</f>
        <v/>
      </c>
      <c r="M33" s="625" t="str">
        <f>IF(COUNT(M28,M30:M31)=0,"",SUM(M28,M30:M31))</f>
        <v/>
      </c>
    </row>
    <row r="34" spans="1:13" ht="30.75" customHeight="1" x14ac:dyDescent="0.25">
      <c r="A34" s="359"/>
      <c r="B34" s="540" t="s">
        <v>297</v>
      </c>
      <c r="C34" s="541"/>
      <c r="D34" s="269"/>
      <c r="E34" s="269"/>
      <c r="F34" s="616"/>
      <c r="G34" s="269"/>
      <c r="H34" s="269"/>
      <c r="I34" s="269"/>
      <c r="J34" s="269"/>
      <c r="K34" s="269"/>
      <c r="L34" s="269"/>
      <c r="M34" s="622"/>
    </row>
    <row r="35" spans="1:13" s="328" customFormat="1" ht="15" customHeight="1" x14ac:dyDescent="0.25">
      <c r="A35" s="407"/>
      <c r="B35" s="368"/>
      <c r="C35" s="368"/>
      <c r="D35" s="408"/>
      <c r="E35" s="409"/>
      <c r="F35" s="409"/>
      <c r="G35" s="410"/>
      <c r="H35" s="410"/>
      <c r="I35" s="410"/>
      <c r="J35" s="410"/>
      <c r="K35" s="410"/>
      <c r="L35" s="408"/>
      <c r="M35" s="411"/>
    </row>
    <row r="36" spans="1:13" ht="15" customHeight="1" x14ac:dyDescent="0.25">
      <c r="A36" s="359"/>
      <c r="B36" s="21" t="s">
        <v>19</v>
      </c>
      <c r="C36" s="77"/>
      <c r="D36" s="269"/>
      <c r="E36" s="269"/>
      <c r="F36" s="616"/>
      <c r="G36" s="269"/>
      <c r="H36" s="269"/>
      <c r="I36" s="269"/>
      <c r="J36" s="269"/>
      <c r="K36" s="269"/>
      <c r="L36" s="269"/>
      <c r="M36" s="270"/>
    </row>
    <row r="37" spans="1:13" x14ac:dyDescent="0.25">
      <c r="A37" s="359"/>
      <c r="B37" s="21" t="s">
        <v>20</v>
      </c>
      <c r="C37" s="77"/>
      <c r="D37" s="269"/>
      <c r="E37" s="269"/>
      <c r="F37" s="616"/>
      <c r="G37" s="269"/>
      <c r="H37" s="269"/>
      <c r="I37" s="269"/>
      <c r="J37" s="269"/>
      <c r="K37" s="269"/>
      <c r="L37" s="269"/>
      <c r="M37" s="622"/>
    </row>
    <row r="38" spans="1:13" ht="4.5" customHeight="1" x14ac:dyDescent="0.25">
      <c r="A38" s="359"/>
      <c r="B38" s="21"/>
      <c r="C38" s="21"/>
      <c r="D38" s="298"/>
      <c r="E38" s="299"/>
      <c r="F38" s="299"/>
      <c r="G38" s="300"/>
      <c r="H38" s="300"/>
      <c r="I38" s="300"/>
      <c r="J38" s="300"/>
      <c r="K38" s="300"/>
      <c r="L38" s="298"/>
      <c r="M38" s="301"/>
    </row>
    <row r="39" spans="1:13" x14ac:dyDescent="0.25">
      <c r="A39" s="359"/>
      <c r="B39" s="539" t="s">
        <v>21</v>
      </c>
      <c r="C39" s="539"/>
      <c r="D39" s="302" t="str">
        <f>IF(COUNT(D33,D36:D37)=0,"",SUM(D33,D36:D37))</f>
        <v/>
      </c>
      <c r="E39" s="302" t="str">
        <f t="shared" ref="E39:M39" si="3">IF(COUNT(E33,E36:E37)=0,"",SUM(E33,E36:E37))</f>
        <v/>
      </c>
      <c r="F39" s="304" t="str">
        <f t="shared" si="3"/>
        <v/>
      </c>
      <c r="G39" s="624" t="str">
        <f t="shared" si="3"/>
        <v/>
      </c>
      <c r="H39" s="302" t="str">
        <f t="shared" si="3"/>
        <v/>
      </c>
      <c r="I39" s="302" t="str">
        <f t="shared" si="3"/>
        <v/>
      </c>
      <c r="J39" s="302" t="str">
        <f t="shared" si="3"/>
        <v/>
      </c>
      <c r="K39" s="302" t="str">
        <f t="shared" si="3"/>
        <v/>
      </c>
      <c r="L39" s="302" t="str">
        <f t="shared" si="3"/>
        <v/>
      </c>
      <c r="M39" s="625" t="str">
        <f t="shared" si="3"/>
        <v/>
      </c>
    </row>
    <row r="40" spans="1:13" ht="4.5" customHeight="1" x14ac:dyDescent="0.25">
      <c r="A40" s="359"/>
      <c r="B40" s="21"/>
      <c r="C40" s="21"/>
      <c r="D40" s="298"/>
      <c r="E40" s="299"/>
      <c r="F40" s="299"/>
      <c r="G40" s="300"/>
      <c r="H40" s="300"/>
      <c r="I40" s="300"/>
      <c r="J40" s="300"/>
      <c r="K40" s="300"/>
      <c r="L40" s="298"/>
      <c r="M40" s="301"/>
    </row>
    <row r="41" spans="1:13" x14ac:dyDescent="0.25">
      <c r="A41" s="359"/>
      <c r="B41" s="21" t="s">
        <v>22</v>
      </c>
      <c r="C41" s="77"/>
      <c r="D41" s="269"/>
      <c r="E41" s="269"/>
      <c r="F41" s="616"/>
      <c r="G41" s="269"/>
      <c r="H41" s="269"/>
      <c r="I41" s="269"/>
      <c r="J41" s="269"/>
      <c r="K41" s="269"/>
      <c r="L41" s="269"/>
      <c r="M41" s="622"/>
    </row>
    <row r="42" spans="1:13" ht="4.5" customHeight="1" x14ac:dyDescent="0.25">
      <c r="A42" s="359"/>
      <c r="B42" s="21"/>
      <c r="C42" s="77"/>
      <c r="D42" s="303"/>
      <c r="E42" s="303"/>
      <c r="F42" s="623"/>
      <c r="G42" s="626"/>
      <c r="H42" s="303"/>
      <c r="I42" s="303"/>
      <c r="J42" s="303"/>
      <c r="K42" s="303"/>
      <c r="L42" s="303"/>
      <c r="M42" s="627"/>
    </row>
    <row r="43" spans="1:13" x14ac:dyDescent="0.25">
      <c r="A43" s="359"/>
      <c r="B43" s="539" t="s">
        <v>23</v>
      </c>
      <c r="C43" s="539"/>
      <c r="D43" s="304">
        <f>SUM(D39,D41,)</f>
        <v>0</v>
      </c>
      <c r="E43" s="304">
        <f>SUM(E39,E41,)</f>
        <v>0</v>
      </c>
      <c r="F43" s="304">
        <f>SUM(F39,F41,)</f>
        <v>0</v>
      </c>
      <c r="G43" s="305">
        <f t="shared" ref="G43:J43" si="4">SUM(G39,G41,)</f>
        <v>0</v>
      </c>
      <c r="H43" s="305">
        <f t="shared" si="4"/>
        <v>0</v>
      </c>
      <c r="I43" s="305">
        <f t="shared" si="4"/>
        <v>0</v>
      </c>
      <c r="J43" s="305">
        <f t="shared" si="4"/>
        <v>0</v>
      </c>
      <c r="K43" s="305">
        <f>SUM(K39,K41,)</f>
        <v>0</v>
      </c>
      <c r="L43" s="306">
        <f>SUM(L39,L41,)</f>
        <v>0</v>
      </c>
      <c r="M43" s="307">
        <f>SUM(M39,M41,)</f>
        <v>0</v>
      </c>
    </row>
    <row r="44" spans="1:13" x14ac:dyDescent="0.25">
      <c r="B44" s="4"/>
      <c r="C44" s="4"/>
      <c r="D44" s="308"/>
      <c r="E44" s="308"/>
      <c r="F44" s="308"/>
      <c r="G44" s="309"/>
      <c r="H44" s="309"/>
      <c r="I44" s="309"/>
      <c r="J44" s="309"/>
      <c r="K44" s="309"/>
      <c r="L44" s="309"/>
      <c r="M44" s="309"/>
    </row>
    <row r="45" spans="1:13" x14ac:dyDescent="0.25">
      <c r="A45" s="599">
        <f>+SUM(D45:M45)</f>
        <v>0</v>
      </c>
      <c r="B45" s="282" t="s">
        <v>252</v>
      </c>
      <c r="C45" s="285"/>
      <c r="D45" s="438">
        <f>RL_2022-RL_Bal_2022</f>
        <v>0</v>
      </c>
      <c r="E45" s="439">
        <f>RL_P2023-RL_Bal_P2023</f>
        <v>0</v>
      </c>
      <c r="F45" s="439">
        <f>RL_2023-RL_Bal_2023</f>
        <v>0</v>
      </c>
      <c r="G45" s="439">
        <f>RL_2024_1T-RL_Bal_2024_1T</f>
        <v>0</v>
      </c>
      <c r="H45" s="439">
        <f>RL_2024_2T-RL_Bal_2024_2T</f>
        <v>0</v>
      </c>
      <c r="I45" s="439">
        <f>RL_2024_3T-RL_Bal_2024_3T</f>
        <v>0</v>
      </c>
      <c r="J45" s="439">
        <f>RL_2024_4T-RL_Bal_2024_4T</f>
        <v>0</v>
      </c>
      <c r="K45" s="439">
        <f>RL_2024-RL_Bal_2024</f>
        <v>0</v>
      </c>
      <c r="L45" s="439">
        <f t="shared" ref="D45:M45" si="5">RL_2022-RL_Bal_2022</f>
        <v>0</v>
      </c>
      <c r="M45" s="439">
        <f t="shared" si="5"/>
        <v>0</v>
      </c>
    </row>
    <row r="46" spans="1:13" x14ac:dyDescent="0.25">
      <c r="A46" s="599">
        <f>+SUM(D46:M46)</f>
        <v>0</v>
      </c>
      <c r="B46" s="282" t="s">
        <v>253</v>
      </c>
      <c r="C46" s="285"/>
      <c r="D46" s="440"/>
      <c r="E46" s="441"/>
      <c r="F46" s="441"/>
      <c r="G46" s="441"/>
      <c r="H46" s="441"/>
      <c r="I46" s="441"/>
      <c r="J46" s="441"/>
      <c r="K46" s="439">
        <f>+RL_2024-SUM(G43:J43)</f>
        <v>0</v>
      </c>
      <c r="L46" s="441"/>
      <c r="M46" s="441"/>
    </row>
    <row r="47" spans="1:13" s="92" customFormat="1" x14ac:dyDescent="0.25">
      <c r="A47" s="600"/>
      <c r="D47" s="576"/>
      <c r="E47" s="576"/>
      <c r="F47" s="576"/>
      <c r="G47" s="576"/>
      <c r="H47" s="576"/>
      <c r="I47" s="576"/>
      <c r="J47" s="576"/>
      <c r="K47" s="576"/>
      <c r="L47" s="576"/>
      <c r="M47" s="576"/>
    </row>
  </sheetData>
  <sheetProtection sheet="1" selectLockedCells="1"/>
  <dataConsolidate link="1"/>
  <mergeCells count="8">
    <mergeCell ref="B28:C28"/>
    <mergeCell ref="B33:C33"/>
    <mergeCell ref="B39:C39"/>
    <mergeCell ref="B43:C43"/>
    <mergeCell ref="B1:M1"/>
    <mergeCell ref="B5:B6"/>
    <mergeCell ref="C5:C6"/>
    <mergeCell ref="B34:C34"/>
  </mergeCells>
  <dataValidations count="5">
    <dataValidation type="decimal" allowBlank="1" showInputMessage="1" showErrorMessage="1" errorTitle="Validação" error="Introduzir nº decimal" sqref="K31:M31 D31:F31 D8:M14 K36:M36 D36:F36 D18:M25" xr:uid="{7D51A234-0F18-4339-8D90-3E6060F09204}">
      <formula1>-1E+22</formula1>
      <formula2>1E+22</formula2>
    </dataValidation>
    <dataValidation type="decimal" allowBlank="1" showInputMessage="1" showErrorMessage="1" errorTitle="Validação" error="Inserir nº decimal menor ou igual que zero" sqref="G36:J36 D37:M37 D26:M26 G31:J31 D41:M41 D30:M30 D15:M17" xr:uid="{0EB87761-8210-4321-B74A-88337CEC58A3}">
      <formula1>-1E+22</formula1>
      <formula2>0</formula2>
    </dataValidation>
    <dataValidation type="custom" allowBlank="1" showInputMessage="1" showErrorMessage="1" errorTitle="Erro" error="Não introduzir dados nesta célula" sqref="B27:C27 B1:B4 B7 N3 C1:N2 C3:K3 B42:M44 K4:N7 A1:A44 D7:J7 B35:M35 D4:J4 O8:XFD1048576 N8:N44 C4:C7 D40:M40 B32:M32 B38:C40 D38:M38 B29:C29 D27:M29 A47:N1048576" xr:uid="{B807FB32-5C5F-467F-91AF-DB66F612B6C9}">
      <formula1>"&lt;&gt;"""""</formula1>
    </dataValidation>
    <dataValidation type="custom" allowBlank="1" showErrorMessage="1" errorTitle="Erro" error="Não introduzir dados nesta célula" promptTitle="Alerta" sqref="B5:B6" xr:uid="{3D60AD1B-B5CD-4656-8683-8C7C78C82174}">
      <formula1>"&lt;&gt;"""""</formula1>
    </dataValidation>
    <dataValidation allowBlank="1" showInputMessage="1" showErrorMessage="1" errorTitle="Erro" error="Não introduzir dados nesta célula" sqref="G5:J5 E6:J6 D5:F6 A45:N46 B34 B28:C28 B33:C33 D34:M34" xr:uid="{C2B843C0-1960-47BD-9730-84FD3C461D4A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ignoredErrors>
    <ignoredError sqref="E4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BDAD-DE0A-4966-AC98-73E6CF01DB6C}">
  <sheetPr>
    <tabColor theme="5" tint="0.59999389629810485"/>
    <pageSetUpPr fitToPage="1"/>
  </sheetPr>
  <dimension ref="A1:N58"/>
  <sheetViews>
    <sheetView showGridLines="0" workbookViewId="0">
      <pane ySplit="6" topLeftCell="A8" activePane="bottomLeft" state="frozen"/>
      <selection activeCell="G18" sqref="G18"/>
      <selection pane="bottomLeft" activeCell="E8" sqref="E8"/>
    </sheetView>
  </sheetViews>
  <sheetFormatPr defaultColWidth="0" defaultRowHeight="15" zeroHeight="1" outlineLevelCol="1" x14ac:dyDescent="0.25"/>
  <cols>
    <col min="1" max="1" width="5.42578125" style="37" customWidth="1"/>
    <col min="2" max="2" width="49" customWidth="1"/>
    <col min="3" max="3" width="5.42578125" bestFit="1" customWidth="1"/>
    <col min="4" max="6" width="19.7109375" customWidth="1"/>
    <col min="7" max="10" width="19.7109375" customWidth="1" outlineLevel="1"/>
    <col min="11" max="13" width="19.7109375" customWidth="1"/>
    <col min="14" max="14" width="9.140625" customWidth="1"/>
    <col min="15" max="16384" width="9.140625" hidden="1"/>
  </cols>
  <sheetData>
    <row r="1" spans="2:13" x14ac:dyDescent="0.25"/>
    <row r="2" spans="2:13" x14ac:dyDescent="0.25"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3" ht="15.75" x14ac:dyDescent="0.25">
      <c r="B3" s="25" t="s">
        <v>111</v>
      </c>
      <c r="C3" s="31"/>
      <c r="D3" s="27"/>
      <c r="E3" s="27"/>
      <c r="F3" s="27"/>
      <c r="G3" s="27"/>
      <c r="H3" s="27"/>
      <c r="I3" s="27"/>
      <c r="J3" s="27"/>
      <c r="K3" s="27"/>
    </row>
    <row r="4" spans="2:13" ht="15.75" x14ac:dyDescent="0.25">
      <c r="B4" s="30"/>
      <c r="C4" s="31"/>
      <c r="D4" s="31"/>
      <c r="E4" s="31"/>
      <c r="F4" s="31"/>
      <c r="G4" s="31"/>
      <c r="H4" s="31"/>
      <c r="I4" s="31"/>
      <c r="J4" s="31"/>
      <c r="K4" s="31"/>
      <c r="L4" s="27" t="s">
        <v>151</v>
      </c>
      <c r="M4" s="26"/>
    </row>
    <row r="5" spans="2:13" x14ac:dyDescent="0.25">
      <c r="B5" s="542" t="s">
        <v>76</v>
      </c>
      <c r="C5" s="543" t="s">
        <v>2</v>
      </c>
      <c r="D5" s="10">
        <f>IF(Instruções!C7="","",IF(ISERROR(Instruções!C7),"",Instruções!C7-1))</f>
        <v>2022</v>
      </c>
      <c r="E5" s="45">
        <f>IF(Instruções!$C$7="","",IF(ISERROR(Instruções!$C$7),"",Instruções!$C$7))</f>
        <v>2023</v>
      </c>
      <c r="F5" s="45">
        <f>IF(Instruções!$C$7="","",IF(ISERROR(Instruções!$C$7),"",Instruções!$C$7))</f>
        <v>2023</v>
      </c>
      <c r="G5" s="51" t="str">
        <f>IF(Instruções!$C$7="","",IF(ISERROR(Instruções!$C$7),"","1ºT"&amp;Instruções!$C$7+1))</f>
        <v>1ºT2024</v>
      </c>
      <c r="H5" s="51" t="str">
        <f>IF(Instruções!$C$7="","",IF(ISERROR(Instruções!$C$7),"","2ºT"&amp;Instruções!$C$7+1))</f>
        <v>2ºT2024</v>
      </c>
      <c r="I5" s="51" t="str">
        <f>IF(Instruções!$C$7="","",IF(ISERROR(Instruções!$C$7),"","3ºT"&amp;Instruções!$C$7+1))</f>
        <v>3ºT2024</v>
      </c>
      <c r="J5" s="51" t="str">
        <f>IF(Instruções!$C$7="","",IF(ISERROR(Instruções!$C$7),"","4ºT"&amp;Instruções!$C$7+1))</f>
        <v>4ºT2024</v>
      </c>
      <c r="K5" s="51">
        <f>IF(Instruções!C7="","",IF(ISERROR(Instruções!C7),"",Instruções!C7+1))</f>
        <v>2024</v>
      </c>
      <c r="L5" s="52">
        <f>IF(Instruções!C7="","",IF(ISERROR(Instruções!C7),"",Instruções!C7+2))</f>
        <v>2025</v>
      </c>
      <c r="M5" s="53">
        <f>IF(Instruções!C7="","",IF(ISERROR(Instruções!C7),"",Instruções!C7+3))</f>
        <v>2026</v>
      </c>
    </row>
    <row r="6" spans="2:13" ht="15" customHeight="1" x14ac:dyDescent="0.25">
      <c r="B6" s="542" t="s">
        <v>76</v>
      </c>
      <c r="C6" s="543"/>
      <c r="D6" s="11" t="str">
        <f>IF(D5="","","Execução")</f>
        <v>Execução</v>
      </c>
      <c r="E6" s="46" t="str">
        <f>IF(D5="","","PAO")</f>
        <v>PAO</v>
      </c>
      <c r="F6" s="46" t="str">
        <f>IF(D5="","","Estimativa")</f>
        <v>Estimativa</v>
      </c>
      <c r="G6" s="54" t="str">
        <f>IF($F$5="","","Previsão")</f>
        <v>Previsão</v>
      </c>
      <c r="H6" s="54" t="str">
        <f t="shared" ref="H6:J6" si="0">IF($F$5="","","Previsão")</f>
        <v>Previsão</v>
      </c>
      <c r="I6" s="54" t="str">
        <f t="shared" si="0"/>
        <v>Previsão</v>
      </c>
      <c r="J6" s="54" t="str">
        <f t="shared" si="0"/>
        <v>Previsão</v>
      </c>
      <c r="K6" s="54" t="str">
        <f>IF(F5="","","Previsão")</f>
        <v>Previsão</v>
      </c>
      <c r="L6" s="55" t="str">
        <f>IF(K5="","","Previsão")</f>
        <v>Previsão</v>
      </c>
      <c r="M6" s="56" t="str">
        <f>IF(L5="","","Previsão")</f>
        <v>Previsão</v>
      </c>
    </row>
    <row r="7" spans="2:13" ht="3.75" customHeight="1" x14ac:dyDescent="0.25">
      <c r="B7" s="37"/>
      <c r="C7" s="37"/>
      <c r="D7" s="37"/>
      <c r="E7" s="37"/>
      <c r="F7" s="37"/>
      <c r="G7" s="160"/>
      <c r="H7" s="160"/>
      <c r="I7" s="160"/>
      <c r="J7" s="160"/>
      <c r="K7" s="160"/>
      <c r="L7" s="161"/>
      <c r="M7" s="162"/>
    </row>
    <row r="8" spans="2:13" ht="15" customHeight="1" x14ac:dyDescent="0.25">
      <c r="B8" s="537" t="s">
        <v>77</v>
      </c>
      <c r="C8" s="538"/>
      <c r="D8" s="12"/>
      <c r="E8" s="159"/>
      <c r="F8" s="159"/>
      <c r="G8" s="163"/>
      <c r="H8" s="163"/>
      <c r="I8" s="163"/>
      <c r="J8" s="163"/>
      <c r="K8" s="163"/>
      <c r="L8" s="12"/>
      <c r="M8" s="164"/>
    </row>
    <row r="9" spans="2:13" x14ac:dyDescent="0.25">
      <c r="B9" s="21" t="s">
        <v>78</v>
      </c>
      <c r="C9" s="77" t="s">
        <v>33</v>
      </c>
      <c r="D9" s="269"/>
      <c r="E9" s="269"/>
      <c r="F9" s="616"/>
      <c r="G9" s="269"/>
      <c r="H9" s="269"/>
      <c r="I9" s="269"/>
      <c r="J9" s="269"/>
      <c r="K9" s="269"/>
      <c r="L9" s="269"/>
      <c r="M9" s="346"/>
    </row>
    <row r="10" spans="2:13" x14ac:dyDescent="0.25">
      <c r="B10" s="21" t="s">
        <v>79</v>
      </c>
      <c r="C10" s="77"/>
      <c r="D10" s="347"/>
      <c r="E10" s="348"/>
      <c r="F10" s="348"/>
      <c r="G10" s="349"/>
      <c r="H10" s="349"/>
      <c r="I10" s="349"/>
      <c r="J10" s="349"/>
      <c r="K10" s="349"/>
      <c r="L10" s="347"/>
      <c r="M10" s="346"/>
    </row>
    <row r="11" spans="2:13" x14ac:dyDescent="0.25">
      <c r="B11" s="21" t="s">
        <v>80</v>
      </c>
      <c r="C11" s="77"/>
      <c r="D11" s="347"/>
      <c r="E11" s="348"/>
      <c r="F11" s="348"/>
      <c r="G11" s="349"/>
      <c r="H11" s="349"/>
      <c r="I11" s="349"/>
      <c r="J11" s="349"/>
      <c r="K11" s="349"/>
      <c r="L11" s="347"/>
      <c r="M11" s="346"/>
    </row>
    <row r="12" spans="2:13" x14ac:dyDescent="0.25">
      <c r="B12" s="21" t="s">
        <v>81</v>
      </c>
      <c r="C12" s="77" t="s">
        <v>33</v>
      </c>
      <c r="D12" s="347"/>
      <c r="E12" s="348"/>
      <c r="F12" s="348"/>
      <c r="G12" s="349"/>
      <c r="H12" s="349"/>
      <c r="I12" s="349"/>
      <c r="J12" s="349"/>
      <c r="K12" s="349"/>
      <c r="L12" s="347"/>
      <c r="M12" s="346"/>
    </row>
    <row r="13" spans="2:13" x14ac:dyDescent="0.25">
      <c r="B13" s="21" t="s">
        <v>82</v>
      </c>
      <c r="C13" s="77" t="s">
        <v>33</v>
      </c>
      <c r="D13" s="347"/>
      <c r="E13" s="348"/>
      <c r="F13" s="348"/>
      <c r="G13" s="349"/>
      <c r="H13" s="349"/>
      <c r="I13" s="349"/>
      <c r="J13" s="349"/>
      <c r="K13" s="349"/>
      <c r="L13" s="347"/>
      <c r="M13" s="346"/>
    </row>
    <row r="14" spans="2:13" x14ac:dyDescent="0.25">
      <c r="B14" s="32" t="s">
        <v>83</v>
      </c>
      <c r="C14" s="32"/>
      <c r="D14" s="264">
        <f>SUM(D9:D13)</f>
        <v>0</v>
      </c>
      <c r="E14" s="264">
        <f>SUM(E9:E13)</f>
        <v>0</v>
      </c>
      <c r="F14" s="264">
        <f>SUM(F9:F13)</f>
        <v>0</v>
      </c>
      <c r="G14" s="265">
        <f t="shared" ref="G14:J14" si="1">SUM(G9:G13)</f>
        <v>0</v>
      </c>
      <c r="H14" s="264">
        <f t="shared" si="1"/>
        <v>0</v>
      </c>
      <c r="I14" s="264">
        <f t="shared" si="1"/>
        <v>0</v>
      </c>
      <c r="J14" s="264">
        <f t="shared" si="1"/>
        <v>0</v>
      </c>
      <c r="K14" s="265">
        <f>SUM(K9:K13)</f>
        <v>0</v>
      </c>
      <c r="L14" s="264">
        <f>SUM(L9:L13)</f>
        <v>0</v>
      </c>
      <c r="M14" s="266">
        <f>SUM(M9:M13)</f>
        <v>0</v>
      </c>
    </row>
    <row r="15" spans="2:13" x14ac:dyDescent="0.25">
      <c r="B15" s="33" t="s">
        <v>84</v>
      </c>
      <c r="C15" s="77" t="s">
        <v>33</v>
      </c>
      <c r="D15" s="267"/>
      <c r="E15" s="268"/>
      <c r="F15" s="268"/>
      <c r="G15" s="616"/>
      <c r="H15" s="268"/>
      <c r="I15" s="268"/>
      <c r="J15" s="268"/>
      <c r="K15" s="269"/>
      <c r="L15" s="267"/>
      <c r="M15" s="270"/>
    </row>
    <row r="16" spans="2:13" x14ac:dyDescent="0.25">
      <c r="B16" s="34" t="s">
        <v>85</v>
      </c>
      <c r="C16" s="34"/>
      <c r="D16" s="271">
        <f>D14+D15</f>
        <v>0</v>
      </c>
      <c r="E16" s="271">
        <f>E14+E15</f>
        <v>0</v>
      </c>
      <c r="F16" s="271">
        <f>F14+F15</f>
        <v>0</v>
      </c>
      <c r="G16" s="272">
        <f t="shared" ref="G16:J16" si="2">G14+G15</f>
        <v>0</v>
      </c>
      <c r="H16" s="271">
        <f t="shared" si="2"/>
        <v>0</v>
      </c>
      <c r="I16" s="271">
        <f t="shared" si="2"/>
        <v>0</v>
      </c>
      <c r="J16" s="271">
        <f t="shared" si="2"/>
        <v>0</v>
      </c>
      <c r="K16" s="272">
        <f>K14+K15</f>
        <v>0</v>
      </c>
      <c r="L16" s="271">
        <f>L14+L15</f>
        <v>0</v>
      </c>
      <c r="M16" s="273">
        <f>M14+M15</f>
        <v>0</v>
      </c>
    </row>
    <row r="17" spans="1:13" ht="3.75" customHeight="1" x14ac:dyDescent="0.25">
      <c r="B17" s="34"/>
      <c r="C17" s="34"/>
      <c r="D17" s="34"/>
      <c r="E17" s="34"/>
      <c r="F17" s="34"/>
      <c r="G17" s="165"/>
      <c r="H17" s="165"/>
      <c r="I17" s="165"/>
      <c r="J17" s="165"/>
      <c r="K17" s="165"/>
      <c r="L17" s="34"/>
      <c r="M17" s="166"/>
    </row>
    <row r="18" spans="1:13" x14ac:dyDescent="0.25">
      <c r="B18" s="544" t="s">
        <v>86</v>
      </c>
      <c r="C18" s="538"/>
      <c r="D18" s="12"/>
      <c r="E18" s="159"/>
      <c r="F18" s="159"/>
      <c r="G18" s="163"/>
      <c r="H18" s="163"/>
      <c r="I18" s="163"/>
      <c r="J18" s="163"/>
      <c r="K18" s="163"/>
      <c r="L18" s="12"/>
      <c r="M18" s="164"/>
    </row>
    <row r="19" spans="1:13" s="36" customFormat="1" x14ac:dyDescent="0.25">
      <c r="A19" s="38"/>
      <c r="B19" s="35" t="s">
        <v>87</v>
      </c>
      <c r="C19" s="35"/>
      <c r="D19" s="35"/>
      <c r="E19" s="35"/>
      <c r="F19" s="35"/>
      <c r="G19" s="167"/>
      <c r="H19" s="167"/>
      <c r="I19" s="167"/>
      <c r="J19" s="167"/>
      <c r="K19" s="167"/>
      <c r="L19" s="35"/>
      <c r="M19" s="168"/>
    </row>
    <row r="20" spans="1:13" x14ac:dyDescent="0.25">
      <c r="B20" s="21" t="s">
        <v>88</v>
      </c>
      <c r="C20" s="77" t="s">
        <v>33</v>
      </c>
      <c r="D20" s="270"/>
      <c r="E20" s="270"/>
      <c r="F20" s="268"/>
      <c r="G20" s="622"/>
      <c r="H20" s="270"/>
      <c r="I20" s="270"/>
      <c r="J20" s="270"/>
      <c r="K20" s="270"/>
      <c r="L20" s="270"/>
      <c r="M20" s="346"/>
    </row>
    <row r="21" spans="1:13" x14ac:dyDescent="0.25">
      <c r="B21" s="21" t="s">
        <v>89</v>
      </c>
      <c r="C21" s="77" t="s">
        <v>33</v>
      </c>
      <c r="D21" s="347"/>
      <c r="E21" s="348"/>
      <c r="F21" s="348"/>
      <c r="G21" s="349"/>
      <c r="H21" s="349"/>
      <c r="I21" s="349"/>
      <c r="J21" s="349"/>
      <c r="K21" s="349"/>
      <c r="L21" s="347"/>
      <c r="M21" s="346"/>
    </row>
    <row r="22" spans="1:13" x14ac:dyDescent="0.25">
      <c r="B22" s="21" t="s">
        <v>90</v>
      </c>
      <c r="C22" s="77"/>
      <c r="D22" s="347"/>
      <c r="E22" s="348"/>
      <c r="F22" s="348"/>
      <c r="G22" s="349"/>
      <c r="H22" s="349"/>
      <c r="I22" s="349"/>
      <c r="J22" s="349"/>
      <c r="K22" s="349"/>
      <c r="L22" s="347"/>
      <c r="M22" s="346"/>
    </row>
    <row r="23" spans="1:13" x14ac:dyDescent="0.25">
      <c r="B23" s="21" t="s">
        <v>91</v>
      </c>
      <c r="C23" s="77" t="s">
        <v>33</v>
      </c>
      <c r="D23" s="347"/>
      <c r="E23" s="348"/>
      <c r="F23" s="348"/>
      <c r="G23" s="349"/>
      <c r="H23" s="349"/>
      <c r="I23" s="349"/>
      <c r="J23" s="349"/>
      <c r="K23" s="349"/>
      <c r="L23" s="347"/>
      <c r="M23" s="346"/>
    </row>
    <row r="24" spans="1:13" x14ac:dyDescent="0.25">
      <c r="B24" s="21" t="s">
        <v>92</v>
      </c>
      <c r="C24" s="77" t="s">
        <v>33</v>
      </c>
      <c r="D24" s="347"/>
      <c r="E24" s="348"/>
      <c r="F24" s="348"/>
      <c r="G24" s="349"/>
      <c r="H24" s="349"/>
      <c r="I24" s="349"/>
      <c r="J24" s="349"/>
      <c r="K24" s="349"/>
      <c r="L24" s="347"/>
      <c r="M24" s="346"/>
    </row>
    <row r="25" spans="1:13" s="36" customFormat="1" x14ac:dyDescent="0.25">
      <c r="A25" s="38"/>
      <c r="B25" s="35" t="s">
        <v>93</v>
      </c>
      <c r="C25" s="35"/>
      <c r="D25" s="350"/>
      <c r="E25" s="350"/>
      <c r="F25" s="350"/>
      <c r="G25" s="351"/>
      <c r="H25" s="351"/>
      <c r="I25" s="351"/>
      <c r="J25" s="351"/>
      <c r="K25" s="351"/>
      <c r="L25" s="350"/>
      <c r="M25" s="352"/>
    </row>
    <row r="26" spans="1:13" x14ac:dyDescent="0.25">
      <c r="B26" s="21" t="s">
        <v>88</v>
      </c>
      <c r="C26" s="77" t="s">
        <v>33</v>
      </c>
      <c r="D26" s="270"/>
      <c r="E26" s="348"/>
      <c r="F26" s="348"/>
      <c r="G26" s="349"/>
      <c r="H26" s="349"/>
      <c r="I26" s="349"/>
      <c r="J26" s="349"/>
      <c r="K26" s="349"/>
      <c r="L26" s="347"/>
      <c r="M26" s="346"/>
    </row>
    <row r="27" spans="1:13" x14ac:dyDescent="0.25">
      <c r="B27" s="21" t="s">
        <v>89</v>
      </c>
      <c r="C27" s="77" t="s">
        <v>33</v>
      </c>
      <c r="D27" s="347"/>
      <c r="E27" s="348"/>
      <c r="F27" s="348"/>
      <c r="G27" s="349"/>
      <c r="H27" s="349"/>
      <c r="I27" s="349"/>
      <c r="J27" s="349"/>
      <c r="K27" s="349"/>
      <c r="L27" s="347"/>
      <c r="M27" s="346"/>
    </row>
    <row r="28" spans="1:13" x14ac:dyDescent="0.25">
      <c r="B28" s="21" t="s">
        <v>90</v>
      </c>
      <c r="C28" s="77"/>
      <c r="D28" s="347"/>
      <c r="E28" s="348"/>
      <c r="F28" s="348"/>
      <c r="G28" s="349"/>
      <c r="H28" s="349"/>
      <c r="I28" s="349"/>
      <c r="J28" s="349"/>
      <c r="K28" s="349"/>
      <c r="L28" s="347"/>
      <c r="M28" s="346"/>
    </row>
    <row r="29" spans="1:13" x14ac:dyDescent="0.25">
      <c r="B29" s="21" t="s">
        <v>91</v>
      </c>
      <c r="C29" s="77" t="s">
        <v>33</v>
      </c>
      <c r="D29" s="347"/>
      <c r="E29" s="348"/>
      <c r="F29" s="348"/>
      <c r="G29" s="349"/>
      <c r="H29" s="349"/>
      <c r="I29" s="349"/>
      <c r="J29" s="349"/>
      <c r="K29" s="349"/>
      <c r="L29" s="347"/>
      <c r="M29" s="346"/>
    </row>
    <row r="30" spans="1:13" x14ac:dyDescent="0.25">
      <c r="B30" s="21" t="s">
        <v>92</v>
      </c>
      <c r="C30" s="77" t="s">
        <v>33</v>
      </c>
      <c r="D30" s="347"/>
      <c r="E30" s="348"/>
      <c r="F30" s="348"/>
      <c r="G30" s="349"/>
      <c r="H30" s="349"/>
      <c r="I30" s="349"/>
      <c r="J30" s="349"/>
      <c r="K30" s="349"/>
      <c r="L30" s="347"/>
      <c r="M30" s="346"/>
    </row>
    <row r="31" spans="1:13" x14ac:dyDescent="0.25">
      <c r="A31" s="601"/>
      <c r="B31" s="21" t="s">
        <v>94</v>
      </c>
      <c r="C31" s="77" t="s">
        <v>33</v>
      </c>
      <c r="D31" s="347"/>
      <c r="E31" s="348"/>
      <c r="F31" s="348"/>
      <c r="G31" s="349"/>
      <c r="H31" s="349"/>
      <c r="I31" s="349"/>
      <c r="J31" s="349"/>
      <c r="K31" s="349"/>
      <c r="L31" s="347"/>
      <c r="M31" s="346"/>
    </row>
    <row r="32" spans="1:13" x14ac:dyDescent="0.25">
      <c r="A32" s="601"/>
      <c r="B32" s="21" t="s">
        <v>95</v>
      </c>
      <c r="C32" s="77"/>
      <c r="D32" s="347"/>
      <c r="E32" s="348"/>
      <c r="F32" s="348"/>
      <c r="G32" s="349"/>
      <c r="H32" s="349"/>
      <c r="I32" s="349"/>
      <c r="J32" s="349"/>
      <c r="K32" s="349"/>
      <c r="L32" s="347"/>
      <c r="M32" s="346"/>
    </row>
    <row r="33" spans="1:13" x14ac:dyDescent="0.25">
      <c r="A33" s="601"/>
      <c r="B33" s="21" t="s">
        <v>96</v>
      </c>
      <c r="C33" s="77" t="s">
        <v>33</v>
      </c>
      <c r="D33" s="347"/>
      <c r="E33" s="348"/>
      <c r="F33" s="348"/>
      <c r="G33" s="349"/>
      <c r="H33" s="349"/>
      <c r="I33" s="349"/>
      <c r="J33" s="349"/>
      <c r="K33" s="349"/>
      <c r="L33" s="347"/>
      <c r="M33" s="346"/>
    </row>
    <row r="34" spans="1:13" x14ac:dyDescent="0.25">
      <c r="A34" s="601"/>
      <c r="B34" s="21" t="s">
        <v>97</v>
      </c>
      <c r="C34" s="77" t="s">
        <v>33</v>
      </c>
      <c r="D34" s="347"/>
      <c r="E34" s="348"/>
      <c r="F34" s="348"/>
      <c r="G34" s="349"/>
      <c r="H34" s="349"/>
      <c r="I34" s="349"/>
      <c r="J34" s="349"/>
      <c r="K34" s="349"/>
      <c r="L34" s="347"/>
      <c r="M34" s="346"/>
    </row>
    <row r="35" spans="1:13" x14ac:dyDescent="0.25">
      <c r="A35" s="601"/>
      <c r="B35" s="34" t="s">
        <v>98</v>
      </c>
      <c r="C35" s="34"/>
      <c r="D35" s="274">
        <f>SUM(D20:D24,D26:D34)</f>
        <v>0</v>
      </c>
      <c r="E35" s="274">
        <f>SUM(E20:E24,E26:E34)</f>
        <v>0</v>
      </c>
      <c r="F35" s="274">
        <f>SUM(F20:F24,F26:F34)</f>
        <v>0</v>
      </c>
      <c r="G35" s="275">
        <f t="shared" ref="G35:J35" si="3">SUM(G20:G24,G26:G34)</f>
        <v>0</v>
      </c>
      <c r="H35" s="274">
        <f t="shared" si="3"/>
        <v>0</v>
      </c>
      <c r="I35" s="274">
        <f t="shared" si="3"/>
        <v>0</v>
      </c>
      <c r="J35" s="274">
        <f t="shared" si="3"/>
        <v>0</v>
      </c>
      <c r="K35" s="275">
        <f>SUM(K20:K24,K26:K34)</f>
        <v>0</v>
      </c>
      <c r="L35" s="274">
        <f>SUM(L20:L24,L26:L34)</f>
        <v>0</v>
      </c>
      <c r="M35" s="276">
        <f>SUM(M20:M24,M26:M34)</f>
        <v>0</v>
      </c>
    </row>
    <row r="36" spans="1:13" ht="3.75" customHeight="1" x14ac:dyDescent="0.25">
      <c r="A36" s="601"/>
      <c r="B36" s="34"/>
      <c r="C36" s="34"/>
      <c r="D36" s="34"/>
      <c r="E36" s="34"/>
      <c r="F36" s="34"/>
      <c r="G36" s="165"/>
      <c r="H36" s="165"/>
      <c r="I36" s="165"/>
      <c r="J36" s="165"/>
      <c r="K36" s="165"/>
      <c r="L36" s="34"/>
      <c r="M36" s="166"/>
    </row>
    <row r="37" spans="1:13" x14ac:dyDescent="0.25">
      <c r="A37" s="601"/>
      <c r="B37" s="537" t="s">
        <v>99</v>
      </c>
      <c r="C37" s="538"/>
      <c r="D37" s="278"/>
      <c r="E37" s="279"/>
      <c r="F37" s="279"/>
      <c r="G37" s="280"/>
      <c r="H37" s="280"/>
      <c r="I37" s="280"/>
      <c r="J37" s="280"/>
      <c r="K37" s="280"/>
      <c r="L37" s="278"/>
      <c r="M37" s="281"/>
    </row>
    <row r="38" spans="1:13" s="36" customFormat="1" x14ac:dyDescent="0.25">
      <c r="A38" s="602"/>
      <c r="B38" s="35" t="s">
        <v>93</v>
      </c>
      <c r="C38" s="35"/>
      <c r="D38" s="35"/>
      <c r="E38" s="35"/>
      <c r="F38" s="35"/>
      <c r="G38" s="167"/>
      <c r="H38" s="167"/>
      <c r="I38" s="167"/>
      <c r="J38" s="167"/>
      <c r="K38" s="167"/>
      <c r="L38" s="35"/>
      <c r="M38" s="168"/>
    </row>
    <row r="39" spans="1:13" x14ac:dyDescent="0.25">
      <c r="A39" s="601"/>
      <c r="B39" s="21" t="s">
        <v>100</v>
      </c>
      <c r="C39" s="77" t="s">
        <v>33</v>
      </c>
      <c r="D39" s="347"/>
      <c r="E39" s="348"/>
      <c r="F39" s="348"/>
      <c r="G39" s="349"/>
      <c r="H39" s="349"/>
      <c r="I39" s="349"/>
      <c r="J39" s="349"/>
      <c r="K39" s="349"/>
      <c r="L39" s="347"/>
      <c r="M39" s="346"/>
    </row>
    <row r="40" spans="1:13" ht="21" x14ac:dyDescent="0.25">
      <c r="A40" s="601"/>
      <c r="B40" s="21" t="s">
        <v>101</v>
      </c>
      <c r="C40" s="77" t="s">
        <v>33</v>
      </c>
      <c r="D40" s="347"/>
      <c r="E40" s="348"/>
      <c r="F40" s="348"/>
      <c r="G40" s="269"/>
      <c r="H40" s="269"/>
      <c r="I40" s="269"/>
      <c r="J40" s="269"/>
      <c r="K40" s="349"/>
      <c r="L40" s="347"/>
      <c r="M40" s="346"/>
    </row>
    <row r="41" spans="1:13" x14ac:dyDescent="0.25">
      <c r="A41" s="601"/>
      <c r="B41" s="21" t="s">
        <v>102</v>
      </c>
      <c r="C41" s="77" t="s">
        <v>33</v>
      </c>
      <c r="D41" s="347"/>
      <c r="E41" s="348"/>
      <c r="F41" s="348"/>
      <c r="G41" s="269"/>
      <c r="H41" s="269"/>
      <c r="I41" s="269"/>
      <c r="J41" s="269"/>
      <c r="K41" s="349"/>
      <c r="L41" s="347"/>
      <c r="M41" s="346"/>
    </row>
    <row r="42" spans="1:13" x14ac:dyDescent="0.25">
      <c r="A42" s="601"/>
      <c r="B42" s="21" t="s">
        <v>103</v>
      </c>
      <c r="C42" s="77" t="s">
        <v>33</v>
      </c>
      <c r="D42" s="347"/>
      <c r="E42" s="348"/>
      <c r="F42" s="348"/>
      <c r="G42" s="349"/>
      <c r="H42" s="349"/>
      <c r="I42" s="349"/>
      <c r="J42" s="349"/>
      <c r="K42" s="349"/>
      <c r="L42" s="347"/>
      <c r="M42" s="346"/>
    </row>
    <row r="43" spans="1:13" x14ac:dyDescent="0.25">
      <c r="A43" s="601"/>
      <c r="B43" s="21" t="s">
        <v>104</v>
      </c>
      <c r="C43" s="77" t="s">
        <v>33</v>
      </c>
      <c r="D43" s="347"/>
      <c r="E43" s="348"/>
      <c r="F43" s="348"/>
      <c r="G43" s="349"/>
      <c r="H43" s="349"/>
      <c r="I43" s="349"/>
      <c r="J43" s="349"/>
      <c r="K43" s="349"/>
      <c r="L43" s="347"/>
      <c r="M43" s="346"/>
    </row>
    <row r="44" spans="1:13" s="36" customFormat="1" x14ac:dyDescent="0.25">
      <c r="A44" s="602"/>
      <c r="B44" s="35" t="s">
        <v>87</v>
      </c>
      <c r="C44" s="35"/>
      <c r="D44" s="350"/>
      <c r="E44" s="350"/>
      <c r="F44" s="350"/>
      <c r="G44" s="351"/>
      <c r="H44" s="351"/>
      <c r="I44" s="351"/>
      <c r="J44" s="351"/>
      <c r="K44" s="351"/>
      <c r="L44" s="350"/>
      <c r="M44" s="352"/>
    </row>
    <row r="45" spans="1:13" x14ac:dyDescent="0.25">
      <c r="A45" s="601"/>
      <c r="B45" s="21" t="s">
        <v>100</v>
      </c>
      <c r="C45" s="77" t="s">
        <v>33</v>
      </c>
      <c r="D45" s="347"/>
      <c r="E45" s="348"/>
      <c r="F45" s="348"/>
      <c r="G45" s="349"/>
      <c r="H45" s="349"/>
      <c r="I45" s="349"/>
      <c r="J45" s="349"/>
      <c r="K45" s="349"/>
      <c r="L45" s="347"/>
      <c r="M45" s="346"/>
    </row>
    <row r="46" spans="1:13" x14ac:dyDescent="0.25">
      <c r="A46" s="601"/>
      <c r="B46" s="21" t="s">
        <v>105</v>
      </c>
      <c r="C46" s="77" t="s">
        <v>33</v>
      </c>
      <c r="D46" s="269"/>
      <c r="E46" s="269"/>
      <c r="F46" s="616"/>
      <c r="G46" s="269"/>
      <c r="H46" s="269"/>
      <c r="I46" s="269"/>
      <c r="J46" s="269"/>
      <c r="K46" s="269"/>
      <c r="L46" s="269"/>
      <c r="M46" s="346"/>
    </row>
    <row r="47" spans="1:13" x14ac:dyDescent="0.25">
      <c r="A47" s="601"/>
      <c r="B47" s="21" t="s">
        <v>97</v>
      </c>
      <c r="C47" s="77" t="s">
        <v>33</v>
      </c>
      <c r="D47" s="347"/>
      <c r="E47" s="348"/>
      <c r="F47" s="348"/>
      <c r="G47" s="349"/>
      <c r="H47" s="349"/>
      <c r="I47" s="349"/>
      <c r="J47" s="349"/>
      <c r="K47" s="349"/>
      <c r="L47" s="347"/>
      <c r="M47" s="346"/>
    </row>
    <row r="48" spans="1:13" x14ac:dyDescent="0.25">
      <c r="A48" s="601"/>
      <c r="B48" s="21" t="s">
        <v>106</v>
      </c>
      <c r="C48" s="77" t="s">
        <v>33</v>
      </c>
      <c r="D48" s="347"/>
      <c r="E48" s="348"/>
      <c r="F48" s="348"/>
      <c r="G48" s="349"/>
      <c r="H48" s="349"/>
      <c r="I48" s="349"/>
      <c r="J48" s="349"/>
      <c r="K48" s="349"/>
      <c r="L48" s="347"/>
      <c r="M48" s="346"/>
    </row>
    <row r="49" spans="1:13" x14ac:dyDescent="0.25">
      <c r="A49" s="601"/>
      <c r="B49" s="21" t="s">
        <v>104</v>
      </c>
      <c r="C49" s="77" t="s">
        <v>33</v>
      </c>
      <c r="D49" s="347"/>
      <c r="E49" s="348"/>
      <c r="F49" s="348"/>
      <c r="G49" s="349"/>
      <c r="H49" s="349"/>
      <c r="I49" s="349"/>
      <c r="J49" s="349"/>
      <c r="K49" s="349"/>
      <c r="L49" s="347"/>
      <c r="M49" s="346"/>
    </row>
    <row r="50" spans="1:13" x14ac:dyDescent="0.25">
      <c r="A50" s="601"/>
      <c r="B50" s="34" t="s">
        <v>107</v>
      </c>
      <c r="C50" s="34"/>
      <c r="D50" s="274">
        <f>SUM(D39:D43,D45:D49)</f>
        <v>0</v>
      </c>
      <c r="E50" s="274">
        <f>SUM(E39:E43,E45:E49)</f>
        <v>0</v>
      </c>
      <c r="F50" s="274">
        <f>SUM(F39:F43,F45:F49)</f>
        <v>0</v>
      </c>
      <c r="G50" s="275">
        <f t="shared" ref="G50:J50" si="4">SUM(G39:G43,G45:G49)</f>
        <v>0</v>
      </c>
      <c r="H50" s="275">
        <f t="shared" si="4"/>
        <v>0</v>
      </c>
      <c r="I50" s="275">
        <f t="shared" si="4"/>
        <v>0</v>
      </c>
      <c r="J50" s="275">
        <f t="shared" si="4"/>
        <v>0</v>
      </c>
      <c r="K50" s="275">
        <f>SUM(K39:K43,K45:K49)</f>
        <v>0</v>
      </c>
      <c r="L50" s="274">
        <f>SUM(L39:L43,L45:L49)</f>
        <v>0</v>
      </c>
      <c r="M50" s="276">
        <f>SUM(M39:M43,M45:M49)</f>
        <v>0</v>
      </c>
    </row>
    <row r="51" spans="1:13" ht="3.75" customHeight="1" x14ac:dyDescent="0.25">
      <c r="A51" s="601"/>
      <c r="B51" s="34"/>
      <c r="C51" s="34"/>
      <c r="D51" s="34"/>
      <c r="E51" s="34"/>
      <c r="F51" s="34"/>
      <c r="G51" s="165"/>
      <c r="H51" s="165"/>
      <c r="I51" s="165"/>
      <c r="J51" s="165"/>
      <c r="K51" s="165"/>
      <c r="L51" s="34"/>
      <c r="M51" s="166"/>
    </row>
    <row r="52" spans="1:13" x14ac:dyDescent="0.25">
      <c r="A52" s="601"/>
      <c r="B52" s="709" t="s">
        <v>108</v>
      </c>
      <c r="C52" s="710"/>
      <c r="D52" s="711">
        <f>D16+D35+D50</f>
        <v>0</v>
      </c>
      <c r="E52" s="712">
        <f>E16+E35+E50</f>
        <v>0</v>
      </c>
      <c r="F52" s="712">
        <f>F16+F35+F50</f>
        <v>0</v>
      </c>
      <c r="G52" s="713">
        <f t="shared" ref="G52:J52" si="5">G16+G35+G50</f>
        <v>0</v>
      </c>
      <c r="H52" s="713">
        <f t="shared" si="5"/>
        <v>0</v>
      </c>
      <c r="I52" s="713">
        <f t="shared" si="5"/>
        <v>0</v>
      </c>
      <c r="J52" s="713">
        <f t="shared" si="5"/>
        <v>0</v>
      </c>
      <c r="K52" s="713">
        <f>K16+K35+K50</f>
        <v>0</v>
      </c>
      <c r="L52" s="711">
        <f>L16+L35+L50</f>
        <v>0</v>
      </c>
      <c r="M52" s="714">
        <f>M16+M35+M50</f>
        <v>0</v>
      </c>
    </row>
    <row r="53" spans="1:13" x14ac:dyDescent="0.25">
      <c r="A53" s="601"/>
      <c r="B53" s="34" t="s">
        <v>109</v>
      </c>
      <c r="C53" s="34" t="s">
        <v>33</v>
      </c>
      <c r="D53" s="347"/>
      <c r="E53" s="577">
        <f>Caixa_DFC_2022</f>
        <v>0</v>
      </c>
      <c r="F53" s="577">
        <f>Caixa_DFC_2022</f>
        <v>0</v>
      </c>
      <c r="G53" s="349"/>
      <c r="H53" s="349"/>
      <c r="I53" s="349"/>
      <c r="J53" s="349"/>
      <c r="K53" s="578">
        <f>Caixa_DFC_P2023</f>
        <v>0</v>
      </c>
      <c r="L53" s="577">
        <f>Caixa_DFC_2024</f>
        <v>0</v>
      </c>
      <c r="M53" s="579">
        <f>Caixa_DFC_2025</f>
        <v>0</v>
      </c>
    </row>
    <row r="54" spans="1:13" x14ac:dyDescent="0.25">
      <c r="A54" s="601"/>
      <c r="B54" s="34" t="s">
        <v>110</v>
      </c>
      <c r="C54" s="34" t="s">
        <v>33</v>
      </c>
      <c r="D54" s="577">
        <f>D52</f>
        <v>0</v>
      </c>
      <c r="E54" s="577">
        <f>E52</f>
        <v>0</v>
      </c>
      <c r="F54" s="577">
        <f>F52</f>
        <v>0</v>
      </c>
      <c r="G54" s="353"/>
      <c r="H54" s="353"/>
      <c r="I54" s="353"/>
      <c r="J54" s="353"/>
      <c r="K54" s="580">
        <f t="shared" ref="G54:M54" si="6">K52</f>
        <v>0</v>
      </c>
      <c r="L54" s="581">
        <f t="shared" si="6"/>
        <v>0</v>
      </c>
      <c r="M54" s="582">
        <f t="shared" si="6"/>
        <v>0</v>
      </c>
    </row>
    <row r="55" spans="1:13" x14ac:dyDescent="0.25">
      <c r="A55" s="601"/>
      <c r="B55" s="34"/>
      <c r="C55" s="34"/>
      <c r="D55" s="339"/>
      <c r="E55" s="339"/>
      <c r="F55" s="339"/>
      <c r="G55" s="339"/>
      <c r="H55" s="339"/>
      <c r="I55" s="339"/>
      <c r="J55" s="339"/>
      <c r="K55" s="339"/>
      <c r="L55" s="339"/>
      <c r="M55" s="339"/>
    </row>
    <row r="56" spans="1:13" x14ac:dyDescent="0.25">
      <c r="A56" s="603">
        <f>+SUM(D56:M56)</f>
        <v>0</v>
      </c>
      <c r="B56" s="282" t="s">
        <v>252</v>
      </c>
      <c r="C56" s="48"/>
      <c r="D56" s="284">
        <f>Caixa_DFC_2022-Disponibilidade_2022</f>
        <v>0</v>
      </c>
      <c r="E56" s="283">
        <f>Caixa_DFC_P2023-Disponibilidade_P2023</f>
        <v>0</v>
      </c>
      <c r="F56" s="283">
        <f>Caixa_DFC_2023-Disponibilidade_2023</f>
        <v>0</v>
      </c>
      <c r="G56" s="283">
        <f>Caixa_DFC_2024_1T-Disponibilidade_2024_1T</f>
        <v>0</v>
      </c>
      <c r="H56" s="283">
        <f>Caixa_DFC_2024_2T-Disponibilidade_2024_2T</f>
        <v>0</v>
      </c>
      <c r="I56" s="283">
        <f>Caixa_DFC_2024_3T-Disponibilidade_2024_3T</f>
        <v>0</v>
      </c>
      <c r="J56" s="283">
        <f>Caixa_DFC_2024_4T-Disponibilidade_2024_4T</f>
        <v>0</v>
      </c>
      <c r="K56" s="283">
        <f>Caixa_DFC_2024-Disponibilidade_2024</f>
        <v>0</v>
      </c>
      <c r="L56" s="283">
        <f>Caixa_DFC_2025-Disponibilidade_2025</f>
        <v>0</v>
      </c>
      <c r="M56" s="283">
        <f>Caixa_DFC_2026-Disponibilidade_2026</f>
        <v>0</v>
      </c>
    </row>
    <row r="57" spans="1:13" x14ac:dyDescent="0.25">
      <c r="A57" s="603">
        <f>+SUM(D57:M57)</f>
        <v>0</v>
      </c>
      <c r="B57" s="282" t="s">
        <v>264</v>
      </c>
      <c r="C57" s="48"/>
      <c r="D57" s="364"/>
      <c r="E57" s="364"/>
      <c r="F57" s="286"/>
      <c r="G57" s="286"/>
      <c r="H57" s="286"/>
      <c r="I57" s="286"/>
      <c r="J57" s="286"/>
      <c r="K57" s="283">
        <f>+K52-SUM(G52:J52)</f>
        <v>0</v>
      </c>
      <c r="L57" s="286"/>
      <c r="M57" s="286"/>
    </row>
    <row r="58" spans="1:13" x14ac:dyDescent="0.25">
      <c r="A58" s="601"/>
      <c r="B58" s="92"/>
      <c r="C58" s="92"/>
      <c r="D58" s="576"/>
      <c r="E58" s="576"/>
      <c r="F58" s="576"/>
      <c r="G58" s="576"/>
      <c r="H58" s="576"/>
      <c r="I58" s="576"/>
      <c r="J58" s="576"/>
      <c r="K58" s="576"/>
      <c r="L58" s="576"/>
      <c r="M58" s="576"/>
    </row>
  </sheetData>
  <sheetProtection sheet="1" selectLockedCells="1"/>
  <mergeCells count="6">
    <mergeCell ref="B52:C52"/>
    <mergeCell ref="B5:B6"/>
    <mergeCell ref="C5:C6"/>
    <mergeCell ref="B8:C8"/>
    <mergeCell ref="B18:C18"/>
    <mergeCell ref="B37:C37"/>
  </mergeCells>
  <dataValidations count="8">
    <dataValidation type="decimal" allowBlank="1" showInputMessage="1" showErrorMessage="1" errorTitle="Validação" error="Inserir nº decimal menor ou igual que zero" sqref="D12:M13 D45:M49 D20:M24" xr:uid="{BA852B1F-70C1-4CC6-A2D1-E6832BE7322C}">
      <formula1>-1E+22</formula1>
      <formula2>0</formula2>
    </dataValidation>
    <dataValidation type="custom" allowBlank="1" showInputMessage="1" showErrorMessage="1" errorTitle="Erro" error="Não introduzir dados nesta célula" sqref="B53:B54 B15 B9:B13 D7:J7 B19:B36 C19:M19 C25:M25 A7:A54 B37:M38 B39:B50 C44:M44 B8:M8 A1:M2 A3:K3 C35:M36 K4:M7 B50:M52 A4:C7 D4:J4 B14:M14 B16:C18 E16:M18 D16:D17 D18 E53:F53" xr:uid="{7176B113-F6E9-4AB2-8C50-675527C3594F}">
      <formula1>"&lt;&gt;"""""</formula1>
    </dataValidation>
    <dataValidation allowBlank="1" showInputMessage="1" showErrorMessage="1" errorTitle="Erro" error="Não introduzir dados nesta célula" sqref="B56:B57 B58:M58 N55:XFD58 B55:M55 A55:A58 D5:F6" xr:uid="{36D1F2E2-7F64-4D8C-A3A2-39E28824BB58}"/>
    <dataValidation allowBlank="1" showInputMessage="1" showErrorMessage="1" errorTitle="Erro" error="Não introduzir dados nesta célula_x000a_" sqref="C56:M57" xr:uid="{D5787FE4-FFFA-49BE-B685-3E9EB0A82907}"/>
    <dataValidation type="whole" allowBlank="1" showInputMessage="1" showErrorMessage="1" errorTitle="Validação" error="Inserir nº decimal maior ou igual que zero" sqref="D26:M34" xr:uid="{07EE7817-EDFE-47F5-B9DD-940080D22CB5}">
      <formula1>0</formula1>
      <formula2>1E+22</formula2>
    </dataValidation>
    <dataValidation type="decimal" allowBlank="1" showInputMessage="1" showErrorMessage="1" errorTitle="Validação" error="Inserir nº decimal maior ou igual que zero" sqref="D9:M11" xr:uid="{3A7AF73F-772A-48DC-91F4-D1B931EA2BEC}">
      <formula1>0</formula1>
      <formula2>1E+22</formula2>
    </dataValidation>
    <dataValidation type="whole" allowBlank="1" showInputMessage="1" showErrorMessage="1" errorTitle="Validação" error="Inserir nº decimal maior ou igual que zero" sqref="D39:M43" xr:uid="{5A9D6D1E-8538-4C02-990B-C17CCF06A16F}">
      <formula1>0</formula1>
      <formula2>1E+22</formula2>
    </dataValidation>
    <dataValidation type="custom" allowBlank="1" showInputMessage="1" showErrorMessage="1" errorTitle="Erro" error="Não introduzir dados nesta célula" sqref="D54:F54 K53:M54" xr:uid="{2F46F193-B34C-4A6F-B056-76AE4497C1F4}">
      <formula1>"&lt;&gt;"""""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ignoredErrors>
    <ignoredError sqref="F52:G52 D52 L52:M52 H52:K52 E52:E53 E54:F54 D54 K53:M54 F53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DF4D1-6F70-4E14-9D4C-B43570DAE7B7}">
  <sheetPr>
    <tabColor theme="5" tint="0.59999389629810485"/>
    <pageSetUpPr fitToPage="1"/>
  </sheetPr>
  <dimension ref="A1:N55"/>
  <sheetViews>
    <sheetView showGridLines="0" workbookViewId="0">
      <pane ySplit="6" topLeftCell="A8" activePane="bottomLeft" state="frozen"/>
      <selection activeCell="G18" sqref="G18"/>
      <selection pane="bottomLeft" activeCell="C9" sqref="C9"/>
    </sheetView>
  </sheetViews>
  <sheetFormatPr defaultColWidth="0" defaultRowHeight="15" customHeight="1" zeroHeight="1" outlineLevelCol="1" x14ac:dyDescent="0.25"/>
  <cols>
    <col min="1" max="1" width="8" style="37" bestFit="1" customWidth="1"/>
    <col min="2" max="2" width="49" customWidth="1"/>
    <col min="3" max="3" width="11" customWidth="1"/>
    <col min="4" max="5" width="19.7109375" customWidth="1"/>
    <col min="6" max="9" width="19.7109375" customWidth="1" outlineLevel="1"/>
    <col min="10" max="12" width="19.7109375" customWidth="1"/>
    <col min="13" max="13" width="9.140625" customWidth="1"/>
    <col min="14" max="14" width="0" hidden="1" customWidth="1"/>
    <col min="15" max="16384" width="9.140625" hidden="1"/>
  </cols>
  <sheetData>
    <row r="1" spans="1:12" s="92" customFormat="1" x14ac:dyDescent="0.25">
      <c r="A1" s="234"/>
    </row>
    <row r="2" spans="1:12" x14ac:dyDescent="0.25"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5.75" x14ac:dyDescent="0.25">
      <c r="B3" s="25" t="s">
        <v>294</v>
      </c>
      <c r="C3" s="31"/>
      <c r="D3" s="27"/>
      <c r="E3" s="27"/>
      <c r="F3" s="27"/>
      <c r="G3" s="27"/>
      <c r="H3" s="27"/>
      <c r="I3" s="27"/>
      <c r="J3" s="27"/>
    </row>
    <row r="4" spans="1:12" ht="15.75" x14ac:dyDescent="0.25">
      <c r="B4" s="30"/>
      <c r="C4" s="31"/>
      <c r="D4" s="31"/>
      <c r="E4" s="31"/>
      <c r="F4" s="31"/>
      <c r="G4" s="31"/>
      <c r="H4" s="31"/>
      <c r="I4" s="31"/>
      <c r="J4" s="31"/>
      <c r="K4" s="27" t="s">
        <v>151</v>
      </c>
      <c r="L4" s="26"/>
    </row>
    <row r="5" spans="1:12" x14ac:dyDescent="0.25">
      <c r="B5" s="542" t="s">
        <v>257</v>
      </c>
      <c r="C5" s="543" t="s">
        <v>2</v>
      </c>
      <c r="D5" s="45">
        <f>IF(Instruções!$C$7="","",IF(ISERROR(Instruções!$C$7),"",Instruções!$C$7))</f>
        <v>2023</v>
      </c>
      <c r="E5" s="45">
        <f>IF(Instruções!$C$7="","",IF(ISERROR(Instruções!$C$7),"",Instruções!$C$7))</f>
        <v>2023</v>
      </c>
      <c r="F5" s="51" t="str">
        <f>IF(Instruções!$C$7="","",IF(ISERROR(Instruções!$C$7),"","1ºT"&amp;Instruções!$C$7+1))</f>
        <v>1ºT2024</v>
      </c>
      <c r="G5" s="51" t="str">
        <f>IF(Instruções!$C$7="","",IF(ISERROR(Instruções!$C$7),"","2ºT"&amp;Instruções!$C$7+1))</f>
        <v>2ºT2024</v>
      </c>
      <c r="H5" s="51" t="str">
        <f>IF(Instruções!$C$7="","",IF(ISERROR(Instruções!$C$7),"","3ºT"&amp;Instruções!$C$7+1))</f>
        <v>3ºT2024</v>
      </c>
      <c r="I5" s="51" t="str">
        <f>IF(Instruções!$C$7="","",IF(ISERROR(Instruções!$C$7),"","4ºT"&amp;Instruções!$C$7+1))</f>
        <v>4ºT2024</v>
      </c>
      <c r="J5" s="51">
        <f>IF(Instruções!C7="","",IF(ISERROR(Instruções!C7),"",Instruções!C7+1))</f>
        <v>2024</v>
      </c>
      <c r="K5" s="52">
        <f>IF(Instruções!C7="","",IF(ISERROR(Instruções!C7),"",Instruções!C7+2))</f>
        <v>2025</v>
      </c>
      <c r="L5" s="53">
        <f>IF(Instruções!C7="","",IF(ISERROR(Instruções!C7),"",Instruções!C7+3))</f>
        <v>2026</v>
      </c>
    </row>
    <row r="6" spans="1:12" ht="15" customHeight="1" x14ac:dyDescent="0.25">
      <c r="B6" s="542" t="s">
        <v>76</v>
      </c>
      <c r="C6" s="543"/>
      <c r="D6" s="46" t="str">
        <f>IF(D5="","","PAO")</f>
        <v>PAO</v>
      </c>
      <c r="E6" s="46" t="str">
        <f>IF(E5="","","Estimativa")</f>
        <v>Estimativa</v>
      </c>
      <c r="F6" s="54" t="str">
        <f>IF($E$5="","","Previsão")</f>
        <v>Previsão</v>
      </c>
      <c r="G6" s="54" t="str">
        <f t="shared" ref="G6:I6" si="0">IF($E$5="","","Previsão")</f>
        <v>Previsão</v>
      </c>
      <c r="H6" s="54" t="str">
        <f t="shared" si="0"/>
        <v>Previsão</v>
      </c>
      <c r="I6" s="54" t="str">
        <f t="shared" si="0"/>
        <v>Previsão</v>
      </c>
      <c r="J6" s="54" t="str">
        <f>IF(E5="","","Previsão")</f>
        <v>Previsão</v>
      </c>
      <c r="K6" s="55" t="str">
        <f>IF(J5="","","Previsão")</f>
        <v>Previsão</v>
      </c>
      <c r="L6" s="56" t="str">
        <f>IF(K5="","","Previsão")</f>
        <v>Previsão</v>
      </c>
    </row>
    <row r="7" spans="1:12" ht="3.75" customHeight="1" x14ac:dyDescent="0.25">
      <c r="B7" s="37"/>
      <c r="C7" s="37"/>
      <c r="D7" s="37"/>
      <c r="E7" s="37"/>
      <c r="F7" s="160"/>
      <c r="G7" s="160"/>
      <c r="H7" s="160"/>
      <c r="I7" s="160"/>
      <c r="J7" s="160"/>
      <c r="K7" s="161"/>
      <c r="L7" s="162"/>
    </row>
    <row r="8" spans="1:12" ht="15" customHeight="1" x14ac:dyDescent="0.25">
      <c r="B8" s="537"/>
      <c r="C8" s="538"/>
      <c r="D8" s="159"/>
      <c r="E8" s="159"/>
      <c r="F8" s="163"/>
      <c r="G8" s="163"/>
      <c r="H8" s="163"/>
      <c r="I8" s="163"/>
      <c r="J8" s="163"/>
      <c r="K8" s="12"/>
      <c r="L8" s="164"/>
    </row>
    <row r="9" spans="1:12" s="328" customFormat="1" ht="15" customHeight="1" x14ac:dyDescent="0.25">
      <c r="A9" s="367"/>
      <c r="B9" s="4" t="s">
        <v>320</v>
      </c>
      <c r="C9" s="451"/>
      <c r="D9" s="452"/>
      <c r="E9" s="452"/>
      <c r="F9" s="453"/>
      <c r="G9" s="453"/>
      <c r="H9" s="453"/>
      <c r="I9" s="453"/>
      <c r="J9" s="453"/>
      <c r="K9" s="454"/>
      <c r="L9" s="455"/>
    </row>
    <row r="10" spans="1:12" x14ac:dyDescent="0.25">
      <c r="A10" s="269" t="s">
        <v>369</v>
      </c>
      <c r="B10" s="370" t="s">
        <v>273</v>
      </c>
      <c r="C10" s="77"/>
      <c r="D10" s="269"/>
      <c r="E10" s="616"/>
      <c r="F10" s="269"/>
      <c r="G10" s="269"/>
      <c r="H10" s="269"/>
      <c r="I10" s="269"/>
      <c r="J10" s="269"/>
      <c r="K10" s="269"/>
      <c r="L10" s="346"/>
    </row>
    <row r="11" spans="1:12" x14ac:dyDescent="0.25">
      <c r="A11" s="269" t="s">
        <v>370</v>
      </c>
      <c r="B11" s="366" t="s">
        <v>275</v>
      </c>
      <c r="C11" s="77"/>
      <c r="D11" s="348"/>
      <c r="E11" s="348"/>
      <c r="F11" s="349"/>
      <c r="G11" s="349"/>
      <c r="H11" s="349"/>
      <c r="I11" s="349"/>
      <c r="J11" s="349"/>
      <c r="K11" s="347"/>
      <c r="L11" s="346"/>
    </row>
    <row r="12" spans="1:12" x14ac:dyDescent="0.25">
      <c r="A12" s="269" t="s">
        <v>370</v>
      </c>
      <c r="B12" s="366" t="s">
        <v>276</v>
      </c>
      <c r="C12" s="77"/>
      <c r="D12" s="348"/>
      <c r="E12" s="348"/>
      <c r="F12" s="349"/>
      <c r="G12" s="349"/>
      <c r="H12" s="349"/>
      <c r="I12" s="349"/>
      <c r="J12" s="349"/>
      <c r="K12" s="347"/>
      <c r="L12" s="346"/>
    </row>
    <row r="13" spans="1:12" x14ac:dyDescent="0.25">
      <c r="A13" s="269" t="s">
        <v>370</v>
      </c>
      <c r="B13" s="366" t="s">
        <v>277</v>
      </c>
      <c r="C13" s="77"/>
      <c r="D13" s="348"/>
      <c r="E13" s="348"/>
      <c r="F13" s="349"/>
      <c r="G13" s="349"/>
      <c r="H13" s="349"/>
      <c r="I13" s="349"/>
      <c r="J13" s="349"/>
      <c r="K13" s="347"/>
      <c r="L13" s="346"/>
    </row>
    <row r="14" spans="1:12" s="328" customFormat="1" x14ac:dyDescent="0.25">
      <c r="A14" s="367"/>
      <c r="B14" s="429" t="s">
        <v>307</v>
      </c>
      <c r="C14" s="348"/>
      <c r="D14" s="274"/>
      <c r="E14" s="274"/>
      <c r="F14" s="275"/>
      <c r="G14" s="274"/>
      <c r="H14" s="274"/>
      <c r="I14" s="274"/>
      <c r="J14" s="274"/>
      <c r="K14" s="274"/>
      <c r="L14" s="276"/>
    </row>
    <row r="15" spans="1:12" x14ac:dyDescent="0.25">
      <c r="A15" s="269" t="s">
        <v>369</v>
      </c>
      <c r="B15" s="370" t="s">
        <v>274</v>
      </c>
      <c r="C15" s="77"/>
      <c r="D15" s="348"/>
      <c r="E15" s="348"/>
      <c r="F15" s="269"/>
      <c r="G15" s="269"/>
      <c r="H15" s="269"/>
      <c r="I15" s="269"/>
      <c r="J15" s="349"/>
      <c r="K15" s="347"/>
      <c r="L15" s="346"/>
    </row>
    <row r="16" spans="1:12" x14ac:dyDescent="0.25">
      <c r="A16" s="269" t="s">
        <v>370</v>
      </c>
      <c r="B16" s="366" t="s">
        <v>275</v>
      </c>
      <c r="C16" s="77"/>
      <c r="D16" s="348"/>
      <c r="E16" s="348"/>
      <c r="F16" s="349"/>
      <c r="G16" s="349"/>
      <c r="H16" s="349"/>
      <c r="I16" s="349"/>
      <c r="J16" s="349"/>
      <c r="K16" s="347"/>
      <c r="L16" s="346"/>
    </row>
    <row r="17" spans="1:12" x14ac:dyDescent="0.25">
      <c r="A17" s="269" t="s">
        <v>370</v>
      </c>
      <c r="B17" s="366" t="s">
        <v>276</v>
      </c>
      <c r="C17" s="77"/>
      <c r="D17" s="348"/>
      <c r="E17" s="348"/>
      <c r="F17" s="349"/>
      <c r="G17" s="349"/>
      <c r="H17" s="349"/>
      <c r="I17" s="349"/>
      <c r="J17" s="349"/>
      <c r="K17" s="347"/>
      <c r="L17" s="346"/>
    </row>
    <row r="18" spans="1:12" x14ac:dyDescent="0.25">
      <c r="A18" s="269" t="s">
        <v>370</v>
      </c>
      <c r="B18" s="366" t="s">
        <v>277</v>
      </c>
      <c r="C18" s="77"/>
      <c r="D18" s="348"/>
      <c r="E18" s="348"/>
      <c r="F18" s="349"/>
      <c r="G18" s="349"/>
      <c r="H18" s="349"/>
      <c r="I18" s="349"/>
      <c r="J18" s="349"/>
      <c r="K18" s="347"/>
      <c r="L18" s="346"/>
    </row>
    <row r="19" spans="1:12" s="328" customFormat="1" x14ac:dyDescent="0.25">
      <c r="A19" s="367"/>
      <c r="B19" s="429" t="s">
        <v>307</v>
      </c>
      <c r="C19" s="348"/>
      <c r="D19" s="274"/>
      <c r="E19" s="274"/>
      <c r="F19" s="275"/>
      <c r="G19" s="274"/>
      <c r="H19" s="274"/>
      <c r="I19" s="274"/>
      <c r="J19" s="274"/>
      <c r="K19" s="274"/>
      <c r="L19" s="276"/>
    </row>
    <row r="20" spans="1:12" x14ac:dyDescent="0.25">
      <c r="A20" s="269" t="s">
        <v>369</v>
      </c>
      <c r="B20" s="370" t="s">
        <v>278</v>
      </c>
      <c r="C20" s="77"/>
      <c r="D20" s="348"/>
      <c r="E20" s="348"/>
      <c r="F20" s="349"/>
      <c r="G20" s="349"/>
      <c r="H20" s="349"/>
      <c r="I20" s="349"/>
      <c r="J20" s="349"/>
      <c r="K20" s="347"/>
      <c r="L20" s="346"/>
    </row>
    <row r="21" spans="1:12" x14ac:dyDescent="0.25">
      <c r="A21" s="269" t="s">
        <v>370</v>
      </c>
      <c r="B21" s="366" t="s">
        <v>275</v>
      </c>
      <c r="C21" s="77"/>
      <c r="D21" s="348"/>
      <c r="E21" s="348"/>
      <c r="F21" s="349"/>
      <c r="G21" s="349"/>
      <c r="H21" s="349"/>
      <c r="I21" s="349"/>
      <c r="J21" s="349"/>
      <c r="K21" s="347"/>
      <c r="L21" s="346"/>
    </row>
    <row r="22" spans="1:12" x14ac:dyDescent="0.25">
      <c r="A22" s="269" t="s">
        <v>370</v>
      </c>
      <c r="B22" s="366" t="s">
        <v>276</v>
      </c>
      <c r="C22" s="77"/>
      <c r="D22" s="348"/>
      <c r="E22" s="348"/>
      <c r="F22" s="349"/>
      <c r="G22" s="349"/>
      <c r="H22" s="349"/>
      <c r="I22" s="349"/>
      <c r="J22" s="349"/>
      <c r="K22" s="347"/>
      <c r="L22" s="346"/>
    </row>
    <row r="23" spans="1:12" x14ac:dyDescent="0.25">
      <c r="A23" s="269" t="s">
        <v>370</v>
      </c>
      <c r="B23" s="366" t="s">
        <v>277</v>
      </c>
      <c r="C23" s="77"/>
      <c r="D23" s="384"/>
      <c r="E23" s="384"/>
      <c r="F23" s="383"/>
      <c r="G23" s="383"/>
      <c r="H23" s="383"/>
      <c r="I23" s="383"/>
      <c r="J23" s="383"/>
      <c r="K23" s="385"/>
      <c r="L23" s="346"/>
    </row>
    <row r="24" spans="1:12" ht="14.25" customHeight="1" x14ac:dyDescent="0.25">
      <c r="B24" s="429" t="s">
        <v>307</v>
      </c>
      <c r="C24" s="348"/>
      <c r="D24" s="274"/>
      <c r="E24" s="274"/>
      <c r="F24" s="275"/>
      <c r="G24" s="274"/>
      <c r="H24" s="274"/>
      <c r="I24" s="274"/>
      <c r="J24" s="274"/>
      <c r="K24" s="274"/>
      <c r="L24" s="276"/>
    </row>
    <row r="25" spans="1:12" x14ac:dyDescent="0.25">
      <c r="A25" s="269" t="s">
        <v>369</v>
      </c>
      <c r="B25" s="370" t="s">
        <v>371</v>
      </c>
      <c r="C25" s="77"/>
      <c r="D25" s="348"/>
      <c r="E25" s="348"/>
      <c r="F25" s="349"/>
      <c r="G25" s="349"/>
      <c r="H25" s="349"/>
      <c r="I25" s="349"/>
      <c r="J25" s="349"/>
      <c r="K25" s="347"/>
      <c r="L25" s="346"/>
    </row>
    <row r="26" spans="1:12" x14ac:dyDescent="0.25">
      <c r="A26" s="269" t="s">
        <v>370</v>
      </c>
      <c r="B26" s="366" t="s">
        <v>275</v>
      </c>
      <c r="C26" s="77"/>
      <c r="D26" s="348"/>
      <c r="E26" s="348"/>
      <c r="F26" s="349"/>
      <c r="G26" s="349"/>
      <c r="H26" s="349"/>
      <c r="I26" s="349"/>
      <c r="J26" s="349"/>
      <c r="K26" s="347"/>
      <c r="L26" s="346"/>
    </row>
    <row r="27" spans="1:12" x14ac:dyDescent="0.25">
      <c r="A27" s="269" t="s">
        <v>370</v>
      </c>
      <c r="B27" s="366" t="s">
        <v>276</v>
      </c>
      <c r="C27" s="77"/>
      <c r="D27" s="348"/>
      <c r="E27" s="348"/>
      <c r="F27" s="349"/>
      <c r="G27" s="349"/>
      <c r="H27" s="349"/>
      <c r="I27" s="349"/>
      <c r="J27" s="349"/>
      <c r="K27" s="347"/>
      <c r="L27" s="346"/>
    </row>
    <row r="28" spans="1:12" x14ac:dyDescent="0.25">
      <c r="A28" s="269" t="s">
        <v>370</v>
      </c>
      <c r="B28" s="366" t="s">
        <v>277</v>
      </c>
      <c r="C28" s="77"/>
      <c r="D28" s="384"/>
      <c r="E28" s="384"/>
      <c r="F28" s="383"/>
      <c r="G28" s="383"/>
      <c r="H28" s="383"/>
      <c r="I28" s="383"/>
      <c r="J28" s="383"/>
      <c r="K28" s="385"/>
      <c r="L28" s="346"/>
    </row>
    <row r="29" spans="1:12" ht="14.25" customHeight="1" x14ac:dyDescent="0.25">
      <c r="B29" s="429" t="s">
        <v>307</v>
      </c>
      <c r="C29" s="348"/>
      <c r="D29" s="274"/>
      <c r="E29" s="274"/>
      <c r="F29" s="275"/>
      <c r="G29" s="274"/>
      <c r="H29" s="274"/>
      <c r="I29" s="274"/>
      <c r="J29" s="274"/>
      <c r="K29" s="274"/>
      <c r="L29" s="276"/>
    </row>
    <row r="30" spans="1:12" x14ac:dyDescent="0.25">
      <c r="A30" s="269" t="s">
        <v>369</v>
      </c>
      <c r="B30" s="370" t="s">
        <v>372</v>
      </c>
      <c r="C30" s="77"/>
      <c r="D30" s="348"/>
      <c r="E30" s="348"/>
      <c r="F30" s="349"/>
      <c r="G30" s="349"/>
      <c r="H30" s="349"/>
      <c r="I30" s="349"/>
      <c r="J30" s="349"/>
      <c r="K30" s="347"/>
      <c r="L30" s="346"/>
    </row>
    <row r="31" spans="1:12" x14ac:dyDescent="0.25">
      <c r="A31" s="269" t="s">
        <v>370</v>
      </c>
      <c r="B31" s="366" t="s">
        <v>275</v>
      </c>
      <c r="C31" s="77"/>
      <c r="D31" s="348"/>
      <c r="E31" s="348"/>
      <c r="F31" s="349"/>
      <c r="G31" s="349"/>
      <c r="H31" s="349"/>
      <c r="I31" s="349"/>
      <c r="J31" s="349"/>
      <c r="K31" s="347"/>
      <c r="L31" s="346"/>
    </row>
    <row r="32" spans="1:12" x14ac:dyDescent="0.25">
      <c r="A32" s="269" t="s">
        <v>370</v>
      </c>
      <c r="B32" s="366" t="s">
        <v>276</v>
      </c>
      <c r="C32" s="77"/>
      <c r="D32" s="348"/>
      <c r="E32" s="348"/>
      <c r="F32" s="349"/>
      <c r="G32" s="349"/>
      <c r="H32" s="349"/>
      <c r="I32" s="349"/>
      <c r="J32" s="349"/>
      <c r="K32" s="347"/>
      <c r="L32" s="346"/>
    </row>
    <row r="33" spans="1:13" x14ac:dyDescent="0.25">
      <c r="A33" s="269" t="s">
        <v>370</v>
      </c>
      <c r="B33" s="366" t="s">
        <v>277</v>
      </c>
      <c r="C33" s="77"/>
      <c r="D33" s="384"/>
      <c r="E33" s="384"/>
      <c r="F33" s="383"/>
      <c r="G33" s="383"/>
      <c r="H33" s="383"/>
      <c r="I33" s="383"/>
      <c r="J33" s="383"/>
      <c r="K33" s="385"/>
      <c r="L33" s="346"/>
    </row>
    <row r="34" spans="1:13" ht="14.25" customHeight="1" x14ac:dyDescent="0.25">
      <c r="B34" s="429" t="s">
        <v>307</v>
      </c>
      <c r="C34" s="348"/>
      <c r="D34" s="274"/>
      <c r="E34" s="274"/>
      <c r="F34" s="275"/>
      <c r="G34" s="274"/>
      <c r="H34" s="274"/>
      <c r="I34" s="274"/>
      <c r="J34" s="274"/>
      <c r="K34" s="274"/>
      <c r="L34" s="276"/>
    </row>
    <row r="35" spans="1:13" ht="14.25" customHeight="1" x14ac:dyDescent="0.25">
      <c r="B35" s="589"/>
      <c r="C35" s="589"/>
      <c r="D35" s="589"/>
      <c r="E35" s="274"/>
      <c r="F35" s="275"/>
      <c r="G35" s="274"/>
      <c r="H35" s="274"/>
      <c r="I35" s="274"/>
      <c r="J35" s="274"/>
      <c r="K35" s="274"/>
      <c r="L35" s="276"/>
    </row>
    <row r="36" spans="1:13" x14ac:dyDescent="0.25">
      <c r="B36" s="34"/>
      <c r="C36" s="34"/>
      <c r="D36" s="274"/>
      <c r="E36" s="274"/>
      <c r="F36" s="275"/>
      <c r="G36" s="274"/>
      <c r="H36" s="274"/>
      <c r="I36" s="274"/>
      <c r="J36" s="274"/>
      <c r="K36" s="274"/>
      <c r="L36" s="276"/>
    </row>
    <row r="37" spans="1:13" ht="3.75" customHeight="1" x14ac:dyDescent="0.25">
      <c r="B37" s="34"/>
      <c r="C37" s="34"/>
      <c r="D37" s="34"/>
      <c r="E37" s="34"/>
      <c r="F37" s="165"/>
      <c r="G37" s="34"/>
      <c r="H37" s="34"/>
      <c r="I37" s="34"/>
      <c r="J37" s="34"/>
      <c r="K37" s="34"/>
      <c r="L37" s="166"/>
    </row>
    <row r="38" spans="1:13" x14ac:dyDescent="0.25">
      <c r="B38" s="545" t="s">
        <v>279</v>
      </c>
      <c r="C38" s="546"/>
      <c r="D38" s="386">
        <f>+IFERROR(SUMIF($A$10:$A37,"I",$D10:D37),"")</f>
        <v>0</v>
      </c>
      <c r="E38" s="386">
        <f>+IFERROR(SUMIF($A$10:$A37,"I",$E10:E37),"")</f>
        <v>0</v>
      </c>
      <c r="F38" s="617">
        <f>+IFERROR(SUMIF($A$10:$A37,"I",$F10:F37),"")</f>
        <v>0</v>
      </c>
      <c r="G38" s="386">
        <f>+IFERROR(SUMIF($A$10:$A37,"I",$G10:G37),"")</f>
        <v>0</v>
      </c>
      <c r="H38" s="386">
        <f>+IFERROR(SUMIF($A$10:$A37,"I",$H10:H37),"")</f>
        <v>0</v>
      </c>
      <c r="I38" s="386">
        <f>+IFERROR(SUMIF($A$10:$A37,"I",$I10:I37),"")</f>
        <v>0</v>
      </c>
      <c r="J38" s="386">
        <f>+IFERROR(SUMIF($A$10:$A37,"I",$J10:J37),"")</f>
        <v>0</v>
      </c>
      <c r="K38" s="386">
        <f>+IFERROR(SUMIF($A$10:$A37,"I",$K10:K37),"")</f>
        <v>0</v>
      </c>
      <c r="L38" s="618">
        <f>+IFERROR(SUMIF($A$10:$A37,"I",$L10:L37),"")</f>
        <v>0</v>
      </c>
    </row>
    <row r="39" spans="1:13" x14ac:dyDescent="0.25">
      <c r="B39" s="545" t="s">
        <v>280</v>
      </c>
      <c r="C39" s="546"/>
      <c r="D39" s="277">
        <f>+IFERROR(SUMIF($A$10:$A37,"F",$D10:D37),"")</f>
        <v>0</v>
      </c>
      <c r="E39" s="277">
        <f>+IFERROR(SUMIF($A$10:$A37,"F",$E10:E37),"")</f>
        <v>0</v>
      </c>
      <c r="F39" s="619">
        <f>+IFERROR(SUMIF($A$10:$A37,"F",$F10:F37),"")</f>
        <v>0</v>
      </c>
      <c r="G39" s="620">
        <f>+IFERROR(SUMIF($A$10:$A37,"F",$G10:G37),"")</f>
        <v>0</v>
      </c>
      <c r="H39" s="620">
        <f>+IFERROR(SUMIF($A$10:$A37,"F",$H10:H37),"")</f>
        <v>0</v>
      </c>
      <c r="I39" s="620">
        <f>+IFERROR(SUMIF($A$10:$A37,"F",$I10:I37),"")</f>
        <v>0</v>
      </c>
      <c r="J39" s="620">
        <f>+IFERROR(SUMIF($A$10:$A37,"F",$J10:J37),"")</f>
        <v>0</v>
      </c>
      <c r="K39" s="620">
        <f>+IFERROR(SUMIF($A$10:$A37,"F",$K10:K37),"")</f>
        <v>0</v>
      </c>
      <c r="L39" s="621">
        <f>+IFERROR(SUMIF($A$10:$A37,"F",$L10:L37),"")</f>
        <v>0</v>
      </c>
    </row>
    <row r="40" spans="1:13" x14ac:dyDescent="0.25">
      <c r="B40" s="34"/>
      <c r="C40" s="34"/>
      <c r="D40" s="339"/>
      <c r="E40" s="339"/>
      <c r="F40" s="339"/>
      <c r="G40" s="339"/>
      <c r="H40" s="339"/>
      <c r="I40" s="339"/>
      <c r="J40" s="339"/>
      <c r="K40" s="339"/>
      <c r="L40" s="339"/>
    </row>
    <row r="41" spans="1:13" x14ac:dyDescent="0.25">
      <c r="A41" s="604">
        <f>+SUM(E41:L41)</f>
        <v>0</v>
      </c>
      <c r="B41" s="282" t="s">
        <v>251</v>
      </c>
      <c r="C41" s="48"/>
      <c r="D41" s="365">
        <f>+D38-D39</f>
        <v>0</v>
      </c>
      <c r="E41" s="365">
        <f>+E38-E39</f>
        <v>0</v>
      </c>
      <c r="F41" s="365">
        <f t="shared" ref="F41:L41" si="1">+F38-F39</f>
        <v>0</v>
      </c>
      <c r="G41" s="365">
        <f t="shared" si="1"/>
        <v>0</v>
      </c>
      <c r="H41" s="365">
        <f t="shared" si="1"/>
        <v>0</v>
      </c>
      <c r="I41" s="365">
        <f t="shared" si="1"/>
        <v>0</v>
      </c>
      <c r="J41" s="365">
        <f t="shared" si="1"/>
        <v>0</v>
      </c>
      <c r="K41" s="365">
        <f t="shared" si="1"/>
        <v>0</v>
      </c>
      <c r="L41" s="365">
        <f t="shared" si="1"/>
        <v>0</v>
      </c>
    </row>
    <row r="42" spans="1:13" s="92" customFormat="1" ht="6.75" customHeight="1" x14ac:dyDescent="0.25">
      <c r="A42" s="583"/>
      <c r="C42" s="172"/>
      <c r="D42" s="584"/>
      <c r="E42" s="584"/>
      <c r="F42" s="585"/>
      <c r="G42" s="586"/>
      <c r="H42" s="586"/>
      <c r="I42" s="587"/>
      <c r="J42" s="584"/>
      <c r="K42" s="585"/>
      <c r="L42" s="586"/>
      <c r="M42" s="588"/>
    </row>
    <row r="43" spans="1:13" x14ac:dyDescent="0.25">
      <c r="D43" s="328"/>
      <c r="E43" s="328"/>
      <c r="F43" s="328"/>
      <c r="G43" s="328"/>
      <c r="H43" s="328"/>
      <c r="I43" s="328"/>
      <c r="J43" s="328"/>
      <c r="K43" s="328"/>
      <c r="L43" s="328"/>
    </row>
    <row r="44" spans="1:13" ht="15" customHeight="1" x14ac:dyDescent="0.25"/>
    <row r="45" spans="1:13" ht="15" customHeight="1" x14ac:dyDescent="0.25"/>
    <row r="46" spans="1:13" ht="15" customHeight="1" x14ac:dyDescent="0.25"/>
    <row r="47" spans="1:13" ht="15" customHeight="1" x14ac:dyDescent="0.25"/>
    <row r="48" spans="1:1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sheetProtection sheet="1" selectLockedCells="1"/>
  <mergeCells count="5">
    <mergeCell ref="B39:C39"/>
    <mergeCell ref="B5:B6"/>
    <mergeCell ref="C5:C6"/>
    <mergeCell ref="B8:C8"/>
    <mergeCell ref="B38:C38"/>
  </mergeCells>
  <dataValidations count="7">
    <dataValidation allowBlank="1" showInputMessage="1" showErrorMessage="1" errorTitle="Erro" error="Não introduzir dados nesta célula" sqref="M40:XFD43 A42:A43 B5:B6 B3 D5:L6 C43:L43 M38:M39 C35:D35 A40:L40 B9:B35" xr:uid="{0F03CE35-CBCB-4BF2-B588-23A583FB465F}"/>
    <dataValidation type="custom" allowBlank="1" showInputMessage="1" showErrorMessage="1" errorTitle="Erro" error="Não introduzir dados nesta célula" sqref="B7 B8:L9 D7:L7 A1:L2 B4 C4:C7 D4:L4 C3:J3 A37:A39 A3:A9 D24:L24 D29:L29 A41:L41 B36:D37 B38:L39 D34:L34 E35:L37" xr:uid="{EA7D7A8B-1ABF-48D6-8D84-6A8429E9962C}">
      <formula1>"&lt;&gt;"""""</formula1>
    </dataValidation>
    <dataValidation type="decimal" allowBlank="1" showInputMessage="1" showErrorMessage="1" errorTitle="Validação" error="Inserir nº decimal menor ou igual que zero" sqref="E19:L19 E14:L14" xr:uid="{B212E9CF-8624-4B74-8113-C18B55EB9115}">
      <formula1>-1E+22</formula1>
      <formula2>0</formula2>
    </dataValidation>
    <dataValidation allowBlank="1" showInputMessage="1" showErrorMessage="1" errorTitle="Erro" error="Não introduzir dados nesta célula_x000a_" sqref="C42:L42" xr:uid="{797C5711-F3A8-4876-8074-04766298466D}"/>
    <dataValidation type="list" allowBlank="1" showInputMessage="1" showErrorMessage="1" promptTitle="Informação" prompt="Deve escoher a letra &quot;I&quot; caso seja uma linha de Investimento e a letra &quot;F&quot; caso seja uma linha de financiamento._x000a_Atenção que a escolha da letra influencia as formúlas que totalizam o total de investimentos e o total de financiamentos. " sqref="A10:A13" xr:uid="{92032615-3096-417C-9D4D-7879C9AC6865}">
      <formula1>"I,F"</formula1>
    </dataValidation>
    <dataValidation type="whole" allowBlank="1" showInputMessage="1" showErrorMessage="1" errorTitle="Alerta" error="Introduzir número inteiro maior ou igual a zero._x000a_" sqref="D10:L13 D15:L18 D20:L23 D25:L28 D30:L33" xr:uid="{3CC19F1E-284A-42E3-BAF3-1722BA11A490}">
      <formula1>0</formula1>
      <formula2>1E+32</formula2>
    </dataValidation>
    <dataValidation type="list" allowBlank="1" showInputMessage="1" showErrorMessage="1" promptTitle="Informação" prompt="Deve escoher a letra &quot;I&quot; caso seja uma linha de Investimento e a letra &quot;F&quot; caso seja uma linha de financiamento._x000a_Atenção que a escolha da letra influência as formúlas que totalizam o total de investimentos e o total de financiamentos. " sqref="A15:A18 A20:A23 A25:A28 A30:A33" xr:uid="{FC7CE573-F5B4-4C8F-AF27-9755B4550661}">
      <formula1>"I,F"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  <ignoredErrors>
    <ignoredError sqref="D38:L39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E3E06-F1F0-4505-908C-E51B2B78A249}">
  <sheetPr>
    <tabColor theme="4" tint="0.59999389629810485"/>
    <pageSetUpPr fitToPage="1"/>
  </sheetPr>
  <dimension ref="A1:K61"/>
  <sheetViews>
    <sheetView showGridLines="0" zoomScale="115" zoomScaleNormal="115" workbookViewId="0">
      <selection activeCell="I61" sqref="I61"/>
    </sheetView>
  </sheetViews>
  <sheetFormatPr defaultColWidth="0" defaultRowHeight="15" zeroHeight="1" x14ac:dyDescent="0.25"/>
  <cols>
    <col min="1" max="1" width="1.85546875" style="75" customWidth="1"/>
    <col min="2" max="2" width="49.42578125" style="78" customWidth="1"/>
    <col min="3" max="3" width="13.42578125" style="78" bestFit="1" customWidth="1"/>
    <col min="4" max="4" width="13.42578125" style="78" customWidth="1"/>
    <col min="5" max="5" width="13.42578125" style="75" bestFit="1" customWidth="1"/>
    <col min="6" max="8" width="11.7109375" style="75" bestFit="1" customWidth="1"/>
    <col min="9" max="9" width="12.42578125" style="75" bestFit="1" customWidth="1"/>
    <col min="10" max="10" width="9.7109375" style="75" customWidth="1"/>
    <col min="11" max="11" width="9" style="75" customWidth="1"/>
    <col min="12" max="16384" width="6.5703125" style="75" hidden="1"/>
  </cols>
  <sheetData>
    <row r="1" spans="1:11" ht="15" customHeight="1" x14ac:dyDescent="0.25">
      <c r="A1" s="93"/>
      <c r="B1" s="74"/>
      <c r="C1" s="74"/>
      <c r="D1" s="74"/>
      <c r="E1" s="133"/>
      <c r="F1" s="133"/>
      <c r="G1" s="133"/>
      <c r="H1" s="700" t="s">
        <v>151</v>
      </c>
      <c r="I1" s="701"/>
      <c r="J1" s="702"/>
      <c r="K1" s="93"/>
    </row>
    <row r="2" spans="1:11" ht="15" customHeight="1" x14ac:dyDescent="0.25">
      <c r="A2" s="93"/>
      <c r="B2" s="535" t="s">
        <v>150</v>
      </c>
      <c r="C2" s="66">
        <f>IF(Instruções!$C$7="","",IF(ISERROR(Instruções!$C$7),"",Instruções!$C$7-1))</f>
        <v>2022</v>
      </c>
      <c r="D2" s="95">
        <f>IF(Instruções!$C$7="","",IF(ISERROR(Instruções!$C$7),"",Instruções!$C$7))</f>
        <v>2023</v>
      </c>
      <c r="E2" s="95">
        <f>IF(Instruções!$C$7="","",IF(ISERROR(Instruções!$C$7),"",Instruções!$C$7))</f>
        <v>2023</v>
      </c>
      <c r="F2" s="67">
        <f>IF(Instruções!$C$7="","",IF(ISERROR(Instruções!$C$7),"",Instruções!$C$7+1))</f>
        <v>2024</v>
      </c>
      <c r="G2" s="68">
        <f>IF(Instruções!$C$7="","",IF(ISERROR(Instruções!$C$7),"",Instruções!$C$7+2))</f>
        <v>2025</v>
      </c>
      <c r="H2" s="69">
        <f>IF(Instruções!$C$7="","",IF(ISERROR(Instruções!$C$7),"",Instruções!$C$7+3))</f>
        <v>2026</v>
      </c>
      <c r="I2" s="547" t="str">
        <f>IF(ISERROR("Δ ("&amp;Instruções!$C$7+1&amp;"-"&amp;Instruções!$C$7&amp;")"),"","Δ ("&amp;Instruções!$C$7+1&amp;"-"&amp;Instruções!$C$7&amp;")")</f>
        <v>Δ (2024-2023)</v>
      </c>
      <c r="J2" s="548"/>
      <c r="K2" s="93"/>
    </row>
    <row r="3" spans="1:11" x14ac:dyDescent="0.25">
      <c r="A3" s="93"/>
      <c r="B3" s="535"/>
      <c r="C3" s="70" t="str">
        <f>IF(C2="","","Execução")</f>
        <v>Execução</v>
      </c>
      <c r="D3" s="96" t="str">
        <f>IF(D2="","","PAO")</f>
        <v>PAO</v>
      </c>
      <c r="E3" s="96" t="str">
        <f>IF(E2="","","Estimativa")</f>
        <v>Estimativa</v>
      </c>
      <c r="F3" s="71" t="str">
        <f>IF(F2="","","Previsão")</f>
        <v>Previsão</v>
      </c>
      <c r="G3" s="72" t="str">
        <f>IF(G2="","","Previsão")</f>
        <v>Previsão</v>
      </c>
      <c r="H3" s="73" t="str">
        <f>IF(H2="","","Previsão")</f>
        <v>Previsão</v>
      </c>
      <c r="I3" s="97" t="s">
        <v>117</v>
      </c>
      <c r="J3" s="70" t="s">
        <v>118</v>
      </c>
      <c r="K3" s="93"/>
    </row>
    <row r="4" spans="1:11" x14ac:dyDescent="0.25">
      <c r="A4" s="93"/>
      <c r="B4" s="110" t="s">
        <v>122</v>
      </c>
      <c r="C4" s="111" t="str">
        <f>IF(SUM(C5:C7)=0,"",SUM(C5:C7))</f>
        <v/>
      </c>
      <c r="D4" s="111" t="str">
        <f>IF(SUM(D5:D7)=0,"",SUM(D5:D7))</f>
        <v/>
      </c>
      <c r="E4" s="605" t="str">
        <f>IF(SUM(E5:E7)=0,"",SUM(E5:E7))</f>
        <v/>
      </c>
      <c r="F4" s="606" t="str">
        <f t="shared" ref="F4:H4" si="0">IF(SUM(F5:F7)=0,"",SUM(F5:F7))</f>
        <v/>
      </c>
      <c r="G4" s="111" t="str">
        <f t="shared" si="0"/>
        <v/>
      </c>
      <c r="H4" s="607" t="str">
        <f t="shared" si="0"/>
        <v/>
      </c>
      <c r="I4" s="112" t="str">
        <f t="shared" ref="I4" si="1">IF(ISERROR(F4-E4),"",F4-E4)</f>
        <v/>
      </c>
      <c r="J4" s="312" t="str">
        <f t="shared" ref="J4" si="2">IFERROR(I4/ABS(E4),"")</f>
        <v/>
      </c>
      <c r="K4" s="93"/>
    </row>
    <row r="5" spans="1:11" x14ac:dyDescent="0.25">
      <c r="A5" s="93"/>
      <c r="B5" s="76" t="s">
        <v>120</v>
      </c>
      <c r="C5" s="99" t="str">
        <f>IF(DR!D15="","",CMVMC_2022)</f>
        <v/>
      </c>
      <c r="D5" s="102" t="str">
        <f>IF(DR!E15="","",CMVMC_P2023)</f>
        <v/>
      </c>
      <c r="E5" s="100" t="str">
        <f>IF(DR!F15="","",CMVMC_2023)</f>
        <v/>
      </c>
      <c r="F5" s="615" t="str">
        <f>IF(DR!K15="","",CMVMC_2024)</f>
        <v/>
      </c>
      <c r="G5" s="102" t="str">
        <f>IF(DR!L15="","",CMVMC_2025)</f>
        <v/>
      </c>
      <c r="H5" s="102" t="str">
        <f>IF(DR!M15="","",CMVMC_2026)</f>
        <v/>
      </c>
      <c r="I5" s="103" t="str">
        <f>IF(ISERROR(F5-E5),"",F5-E5)</f>
        <v/>
      </c>
      <c r="J5" s="313" t="str">
        <f>IFERROR(I5/ABS(E5),"")</f>
        <v/>
      </c>
      <c r="K5" s="93"/>
    </row>
    <row r="6" spans="1:11" x14ac:dyDescent="0.25">
      <c r="A6" s="93"/>
      <c r="B6" s="76" t="s">
        <v>121</v>
      </c>
      <c r="C6" s="99" t="str">
        <f>IF(DR!D16="","",FSE_2022)</f>
        <v/>
      </c>
      <c r="D6" s="102" t="str">
        <f>IF(DR!E16="","",FSE_P2023)</f>
        <v/>
      </c>
      <c r="E6" s="100" t="str">
        <f>IF(DR!F16="","",FSE_2023)</f>
        <v/>
      </c>
      <c r="F6" s="615" t="str">
        <f>IF(DR!K16="","",FSE_2024)</f>
        <v/>
      </c>
      <c r="G6" s="102" t="str">
        <f>IF(DR!L16="","",FSE_2025)</f>
        <v/>
      </c>
      <c r="H6" s="102" t="str">
        <f>IF(DR!M16="","",FSE_2026)</f>
        <v/>
      </c>
      <c r="I6" s="103" t="str">
        <f>IF(ISERROR(F6-E6),"",F6-E6)</f>
        <v/>
      </c>
      <c r="J6" s="313" t="str">
        <f>IFERROR(I6/ABS(E6),"")</f>
        <v/>
      </c>
      <c r="K6" s="93"/>
    </row>
    <row r="7" spans="1:11" x14ac:dyDescent="0.25">
      <c r="A7" s="93"/>
      <c r="B7" s="76" t="s">
        <v>9</v>
      </c>
      <c r="C7" s="102" t="str">
        <f>IF(DR!D17="","",Gastos_Pessoal_2022)</f>
        <v/>
      </c>
      <c r="D7" s="102" t="str">
        <f>IF(DR!E17="","",Gastos_Pessoal_P2023)</f>
        <v/>
      </c>
      <c r="E7" s="100" t="str">
        <f>IF(DR!F17="","",Gastos_Pessoal_2023)</f>
        <v/>
      </c>
      <c r="F7" s="615" t="str">
        <f>IF(DR!K17="","",Gastos_Pessoal_2024)</f>
        <v/>
      </c>
      <c r="G7" s="102" t="str">
        <f>IF(DR!L17="","",Gastos_Pessoal_2025)</f>
        <v/>
      </c>
      <c r="H7" s="102" t="str">
        <f>IF(DR!M17="","",Gastos_Pessoal_2026)</f>
        <v/>
      </c>
      <c r="I7" s="103" t="str">
        <f>IF(ISERROR(F7-E7),"",F7-E7)</f>
        <v/>
      </c>
      <c r="J7" s="313" t="str">
        <f>IFERROR(I7/ABS(E7),"")</f>
        <v/>
      </c>
      <c r="K7" s="93"/>
    </row>
    <row r="8" spans="1:11" ht="3" customHeight="1" x14ac:dyDescent="0.25">
      <c r="A8" s="93"/>
      <c r="B8" s="105"/>
      <c r="C8" s="107"/>
      <c r="D8" s="107"/>
      <c r="E8" s="107"/>
      <c r="F8" s="608"/>
      <c r="G8" s="107"/>
      <c r="H8" s="609"/>
      <c r="I8" s="106"/>
      <c r="J8" s="108"/>
      <c r="K8" s="109"/>
    </row>
    <row r="9" spans="1:11" x14ac:dyDescent="0.25">
      <c r="A9" s="93"/>
      <c r="B9" s="110" t="s">
        <v>314</v>
      </c>
      <c r="C9" s="111" t="str">
        <f t="shared" ref="C9:H9" si="3">IF(COUNT(C10:C14)=0,"",SUM(C10:C14))</f>
        <v/>
      </c>
      <c r="D9" s="111" t="str">
        <f t="shared" si="3"/>
        <v/>
      </c>
      <c r="E9" s="605" t="str">
        <f t="shared" si="3"/>
        <v/>
      </c>
      <c r="F9" s="606" t="str">
        <f t="shared" si="3"/>
        <v/>
      </c>
      <c r="G9" s="111" t="str">
        <f t="shared" si="3"/>
        <v/>
      </c>
      <c r="H9" s="607" t="str">
        <f t="shared" si="3"/>
        <v/>
      </c>
      <c r="I9" s="112" t="str">
        <f t="shared" ref="I9" si="4">IF(ISERROR(F9-E9),"",F9-E9)</f>
        <v/>
      </c>
      <c r="J9" s="132" t="str">
        <f t="shared" ref="J9:J14" si="5">IFERROR(I9/ABS(E9),"")</f>
        <v/>
      </c>
      <c r="K9" s="93"/>
    </row>
    <row r="10" spans="1:11" x14ac:dyDescent="0.25">
      <c r="A10" s="93"/>
      <c r="B10" s="76" t="s">
        <v>152</v>
      </c>
      <c r="C10" s="143"/>
      <c r="D10" s="143"/>
      <c r="E10" s="144"/>
      <c r="F10" s="145"/>
      <c r="G10" s="143"/>
      <c r="H10" s="146"/>
      <c r="I10" s="103" t="str">
        <f t="shared" ref="I10:I14" si="6">IF(AND(E10="",F10=""),"",IF(ISERROR(F10-E10),"",F10-E10))</f>
        <v/>
      </c>
      <c r="J10" s="104" t="str">
        <f t="shared" si="5"/>
        <v/>
      </c>
      <c r="K10" s="93"/>
    </row>
    <row r="11" spans="1:11" x14ac:dyDescent="0.25">
      <c r="A11" s="93"/>
      <c r="B11" s="76" t="s">
        <v>153</v>
      </c>
      <c r="C11" s="143"/>
      <c r="D11" s="143"/>
      <c r="E11" s="144"/>
      <c r="F11" s="145"/>
      <c r="G11" s="143"/>
      <c r="H11" s="146"/>
      <c r="I11" s="103" t="str">
        <f t="shared" si="6"/>
        <v/>
      </c>
      <c r="J11" s="104" t="str">
        <f t="shared" si="5"/>
        <v/>
      </c>
      <c r="K11" s="93"/>
    </row>
    <row r="12" spans="1:11" x14ac:dyDescent="0.25">
      <c r="A12" s="93"/>
      <c r="B12" s="77"/>
      <c r="C12" s="143"/>
      <c r="D12" s="143"/>
      <c r="E12" s="144"/>
      <c r="F12" s="145"/>
      <c r="G12" s="143"/>
      <c r="H12" s="146"/>
      <c r="I12" s="103" t="str">
        <f t="shared" si="6"/>
        <v/>
      </c>
      <c r="J12" s="104" t="str">
        <f t="shared" si="5"/>
        <v/>
      </c>
      <c r="K12" s="93"/>
    </row>
    <row r="13" spans="1:11" ht="13.5" customHeight="1" x14ac:dyDescent="0.25">
      <c r="A13" s="93"/>
      <c r="B13" s="77"/>
      <c r="C13" s="143"/>
      <c r="D13" s="143"/>
      <c r="E13" s="144"/>
      <c r="F13" s="145"/>
      <c r="G13" s="143"/>
      <c r="H13" s="146"/>
      <c r="I13" s="103" t="str">
        <f t="shared" si="6"/>
        <v/>
      </c>
      <c r="J13" s="104" t="str">
        <f t="shared" si="5"/>
        <v/>
      </c>
      <c r="K13" s="93"/>
    </row>
    <row r="14" spans="1:11" x14ac:dyDescent="0.25">
      <c r="A14" s="93"/>
      <c r="B14" s="77"/>
      <c r="C14" s="143"/>
      <c r="D14" s="143"/>
      <c r="E14" s="144"/>
      <c r="F14" s="145"/>
      <c r="G14" s="143"/>
      <c r="H14" s="146"/>
      <c r="I14" s="103" t="str">
        <f t="shared" si="6"/>
        <v/>
      </c>
      <c r="J14" s="104" t="str">
        <f t="shared" si="5"/>
        <v/>
      </c>
      <c r="K14" s="93"/>
    </row>
    <row r="15" spans="1:11" ht="4.5" customHeight="1" x14ac:dyDescent="0.25">
      <c r="A15" s="93"/>
      <c r="B15" s="113"/>
      <c r="C15" s="116"/>
      <c r="D15" s="116"/>
      <c r="E15" s="116"/>
      <c r="F15" s="115"/>
      <c r="G15" s="116"/>
      <c r="H15" s="117"/>
      <c r="I15" s="114"/>
      <c r="J15" s="118"/>
      <c r="K15" s="113"/>
    </row>
    <row r="16" spans="1:11" ht="18" customHeight="1" x14ac:dyDescent="0.25">
      <c r="A16" s="93"/>
      <c r="B16" s="44" t="s">
        <v>249</v>
      </c>
      <c r="C16" s="61" t="str">
        <f>IF(COUNT(C4,C9)=0,"",-SUM(C4,C9))</f>
        <v/>
      </c>
      <c r="D16" s="61" t="str">
        <f t="shared" ref="D16" si="7">IF(COUNT(D4,D9)=0,"",-SUM(D4,D9))</f>
        <v/>
      </c>
      <c r="E16" s="61" t="str">
        <f t="shared" ref="E16:G16" si="8">IF(COUNT(E4,E9)=0,"",-SUM(E4,E9))</f>
        <v/>
      </c>
      <c r="F16" s="610" t="str">
        <f t="shared" si="8"/>
        <v/>
      </c>
      <c r="G16" s="61" t="str">
        <f t="shared" si="8"/>
        <v/>
      </c>
      <c r="H16" s="611" t="str">
        <f>IF(COUNT(H4,H9)=0,"",-SUM(H4,H9))</f>
        <v/>
      </c>
      <c r="I16" s="62" t="str">
        <f>IF(ISERROR(F16-E16),"",F16-E16)</f>
        <v/>
      </c>
      <c r="J16" s="314" t="str">
        <f>IFERROR(I16/ABS(E16),"")</f>
        <v/>
      </c>
      <c r="K16" s="93"/>
    </row>
    <row r="17" spans="1:11" x14ac:dyDescent="0.25">
      <c r="A17" s="93"/>
      <c r="B17" s="113"/>
      <c r="C17" s="114"/>
      <c r="D17" s="114"/>
      <c r="E17" s="114"/>
      <c r="F17" s="115"/>
      <c r="G17" s="116"/>
      <c r="H17" s="117"/>
      <c r="I17" s="114"/>
      <c r="J17" s="315"/>
      <c r="K17" s="113"/>
    </row>
    <row r="18" spans="1:11" x14ac:dyDescent="0.25">
      <c r="A18" s="93"/>
      <c r="B18" s="110" t="s">
        <v>254</v>
      </c>
      <c r="C18" s="111" t="str">
        <f>IF(SUM(C19:C21)=0,"",SUM(C19:C21))</f>
        <v/>
      </c>
      <c r="D18" s="111" t="str">
        <f t="shared" ref="D18" si="9">IF(SUM(D19:D21)=0,"",SUM(D19:D21))</f>
        <v/>
      </c>
      <c r="E18" s="605" t="str">
        <f t="shared" ref="E18:H18" si="10">IF(SUM(E19:E21)=0,"",SUM(E19:E21))</f>
        <v/>
      </c>
      <c r="F18" s="606" t="str">
        <f t="shared" si="10"/>
        <v/>
      </c>
      <c r="G18" s="111" t="str">
        <f t="shared" si="10"/>
        <v/>
      </c>
      <c r="H18" s="607" t="str">
        <f t="shared" si="10"/>
        <v/>
      </c>
      <c r="I18" s="112" t="str">
        <f t="shared" ref="I18" si="11">IF(ISERROR(F18-E18),"",F18-E18)</f>
        <v/>
      </c>
      <c r="J18" s="312" t="str">
        <f t="shared" ref="J18" si="12">IFERROR(I18/ABS(E18),"")</f>
        <v/>
      </c>
      <c r="K18" s="93"/>
    </row>
    <row r="19" spans="1:11" x14ac:dyDescent="0.25">
      <c r="A19" s="93"/>
      <c r="B19" s="98" t="s">
        <v>3</v>
      </c>
      <c r="C19" s="99" t="str">
        <f>IF(DR!D9="","",Vendas_2022)</f>
        <v/>
      </c>
      <c r="D19" s="100" t="str">
        <f>IF(DR!E9="","",Vendas_P2023)</f>
        <v/>
      </c>
      <c r="E19" s="100" t="str">
        <f>IF(DR!F9="","",Vendas_2023)</f>
        <v/>
      </c>
      <c r="F19" s="101" t="str">
        <f>IF(DR!K9="","",Vendas_2024)</f>
        <v/>
      </c>
      <c r="G19" s="99" t="str">
        <f>IF(DR!L9="","",Vendas_2025)</f>
        <v/>
      </c>
      <c r="H19" s="102" t="str">
        <f>IF(DR!M9="","",Vendas_2026)</f>
        <v/>
      </c>
      <c r="I19" s="103" t="str">
        <f>IF(ISERROR(F19-E19),"",F19-E19)</f>
        <v/>
      </c>
      <c r="J19" s="313" t="str">
        <f>IFERROR(I19/ABS(E19),"")</f>
        <v/>
      </c>
      <c r="K19" s="93"/>
    </row>
    <row r="20" spans="1:11" x14ac:dyDescent="0.25">
      <c r="A20" s="93"/>
      <c r="B20" s="98" t="s">
        <v>154</v>
      </c>
      <c r="C20" s="99" t="str">
        <f>IF(DR!D10="","",PS_2022)</f>
        <v/>
      </c>
      <c r="D20" s="100" t="str">
        <f>IF(DR!E10="","",PS_P2023)</f>
        <v/>
      </c>
      <c r="E20" s="100" t="str">
        <f>IF(DR!F10="","",PS_2023)</f>
        <v/>
      </c>
      <c r="F20" s="101" t="str">
        <f>IF(DR!K10="","",PS_2024)</f>
        <v/>
      </c>
      <c r="G20" s="99" t="str">
        <f>IF(DR!L10="","",PS_2025)</f>
        <v/>
      </c>
      <c r="H20" s="102" t="str">
        <f>IF(DR!M10="","",PS_2026)</f>
        <v/>
      </c>
      <c r="I20" s="103" t="str">
        <f>IF(ISERROR(F20-E20),"",F20-E20)</f>
        <v/>
      </c>
      <c r="J20" s="313" t="str">
        <f>IFERROR(I20/ABS(E20),"")</f>
        <v/>
      </c>
      <c r="K20" s="93"/>
    </row>
    <row r="21" spans="1:11" ht="21" x14ac:dyDescent="0.25">
      <c r="A21" s="93"/>
      <c r="B21" s="76" t="s">
        <v>160</v>
      </c>
      <c r="C21" s="143"/>
      <c r="D21" s="143"/>
      <c r="E21" s="144"/>
      <c r="F21" s="145"/>
      <c r="G21" s="143"/>
      <c r="H21" s="146"/>
      <c r="I21" s="103" t="str">
        <f>IF(AND(E21="",F21=""),"",IF(ISERROR(F21-E21),"",F21-E21))</f>
        <v/>
      </c>
      <c r="J21" s="313" t="str">
        <f>IFERROR(I21/ABS(E21),"")</f>
        <v/>
      </c>
      <c r="K21" s="93"/>
    </row>
    <row r="22" spans="1:11" ht="13.5" customHeight="1" x14ac:dyDescent="0.25">
      <c r="A22" s="93"/>
      <c r="B22" s="110" t="s">
        <v>315</v>
      </c>
      <c r="C22" s="111" t="str">
        <f>IF(COUNT(C23:C25)=0,"",SUM(C23:C25))</f>
        <v/>
      </c>
      <c r="D22" s="111" t="str">
        <f>IF(COUNT(D23:D25)=0,"",SUM(D23:D25))</f>
        <v/>
      </c>
      <c r="E22" s="605" t="str">
        <f>IF(COUNT(E23:E25)=0,"",SUM(E23:E25))</f>
        <v/>
      </c>
      <c r="F22" s="606" t="str">
        <f t="shared" ref="F22:H22" si="13">IF(COUNT(F23:F25)=0,"",SUM(F23:F25))</f>
        <v/>
      </c>
      <c r="G22" s="111" t="str">
        <f t="shared" si="13"/>
        <v/>
      </c>
      <c r="H22" s="607" t="str">
        <f t="shared" si="13"/>
        <v/>
      </c>
      <c r="I22" s="112" t="str">
        <f t="shared" ref="I22" si="14">IF(ISERROR(F22-E22),"",F22-E22)</f>
        <v/>
      </c>
      <c r="J22" s="312" t="str">
        <f t="shared" ref="J22:J24" si="15">IFERROR(I22/ABS(E22),"")</f>
        <v/>
      </c>
      <c r="K22" s="93"/>
    </row>
    <row r="23" spans="1:11" x14ac:dyDescent="0.25">
      <c r="A23" s="93"/>
      <c r="B23" s="76" t="s">
        <v>152</v>
      </c>
      <c r="C23" s="143"/>
      <c r="D23" s="143"/>
      <c r="E23" s="144"/>
      <c r="F23" s="145"/>
      <c r="G23" s="143"/>
      <c r="H23" s="146"/>
      <c r="I23" s="103" t="str">
        <f t="shared" ref="I23:I24" si="16">IF(AND(E23="",F23=""),"",IF(ISERROR(F23-E23),"",F23-E23))</f>
        <v/>
      </c>
      <c r="J23" s="313" t="str">
        <f t="shared" si="15"/>
        <v/>
      </c>
      <c r="K23" s="93"/>
    </row>
    <row r="24" spans="1:11" x14ac:dyDescent="0.25">
      <c r="A24" s="93"/>
      <c r="B24" s="76" t="s">
        <v>153</v>
      </c>
      <c r="C24" s="143"/>
      <c r="D24" s="143"/>
      <c r="E24" s="144"/>
      <c r="F24" s="145"/>
      <c r="G24" s="143"/>
      <c r="H24" s="146"/>
      <c r="I24" s="103" t="str">
        <f t="shared" si="16"/>
        <v/>
      </c>
      <c r="J24" s="313" t="str">
        <f t="shared" si="15"/>
        <v/>
      </c>
      <c r="K24" s="93"/>
    </row>
    <row r="25" spans="1:11" x14ac:dyDescent="0.25">
      <c r="A25" s="93"/>
      <c r="B25" s="76"/>
      <c r="C25" s="143"/>
      <c r="D25" s="143"/>
      <c r="E25" s="144"/>
      <c r="F25" s="145"/>
      <c r="G25" s="143"/>
      <c r="H25" s="146"/>
      <c r="I25" s="103" t="str">
        <f>IF(AND(E25="",F25=""),"",IF(ISERROR(F25-E25),"",F25-E25))</f>
        <v/>
      </c>
      <c r="J25" s="313"/>
      <c r="K25" s="93"/>
    </row>
    <row r="26" spans="1:11" ht="4.5" customHeight="1" x14ac:dyDescent="0.25">
      <c r="A26" s="93"/>
      <c r="B26" s="113"/>
      <c r="C26" s="114"/>
      <c r="D26" s="114"/>
      <c r="E26" s="114"/>
      <c r="F26" s="115"/>
      <c r="G26" s="116"/>
      <c r="H26" s="117"/>
      <c r="I26" s="114"/>
      <c r="J26" s="315"/>
      <c r="K26" s="113"/>
    </row>
    <row r="27" spans="1:11" x14ac:dyDescent="0.25">
      <c r="A27" s="93"/>
      <c r="B27" s="44" t="s">
        <v>250</v>
      </c>
      <c r="C27" s="61" t="str">
        <f>IF(COUNT(C18,C22)=0,"",SUM(C18,C22))</f>
        <v/>
      </c>
      <c r="D27" s="61" t="str">
        <f t="shared" ref="D27" si="17">IF(COUNT(D18,D22)=0,"",SUM(D18,D22))</f>
        <v/>
      </c>
      <c r="E27" s="61" t="str">
        <f t="shared" ref="E27:H27" si="18">IF(COUNT(E18,E22)=0,"",SUM(E18,E22))</f>
        <v/>
      </c>
      <c r="F27" s="610" t="str">
        <f t="shared" si="18"/>
        <v/>
      </c>
      <c r="G27" s="61" t="str">
        <f t="shared" si="18"/>
        <v/>
      </c>
      <c r="H27" s="611" t="str">
        <f t="shared" si="18"/>
        <v/>
      </c>
      <c r="I27" s="62" t="str">
        <f>IF(ISERROR(F27-E27),"",F27-E27)</f>
        <v/>
      </c>
      <c r="J27" s="314" t="str">
        <f>IFERROR(I27/ABS(E27),"")</f>
        <v/>
      </c>
      <c r="K27" s="93"/>
    </row>
    <row r="28" spans="1:11" ht="3.75" customHeight="1" x14ac:dyDescent="0.25">
      <c r="A28" s="93"/>
      <c r="B28" s="93"/>
      <c r="C28" s="93"/>
      <c r="D28" s="93"/>
      <c r="E28" s="93"/>
      <c r="F28" s="119"/>
      <c r="G28" s="120"/>
      <c r="H28" s="121"/>
      <c r="I28" s="93"/>
      <c r="J28" s="316"/>
      <c r="K28" s="93"/>
    </row>
    <row r="29" spans="1:11" x14ac:dyDescent="0.25">
      <c r="A29" s="93"/>
      <c r="B29" s="63" t="s">
        <v>155</v>
      </c>
      <c r="C29" s="123" t="str">
        <f>IFERROR(C16/C27,"")</f>
        <v/>
      </c>
      <c r="D29" s="123" t="str">
        <f t="shared" ref="D29:H29" si="19">IFERROR(D16/D27,"")</f>
        <v/>
      </c>
      <c r="E29" s="123" t="str">
        <f t="shared" si="19"/>
        <v/>
      </c>
      <c r="F29" s="124" t="str">
        <f t="shared" si="19"/>
        <v/>
      </c>
      <c r="G29" s="125" t="str">
        <f t="shared" si="19"/>
        <v/>
      </c>
      <c r="H29" s="126" t="str">
        <f t="shared" si="19"/>
        <v/>
      </c>
      <c r="I29" s="698" t="str">
        <f>IF(AND(E29="",F29=""),"",IF(ISERROR(F29-E29),"",ROUND((F29-E29)*100,1)&amp;" p.p."))</f>
        <v/>
      </c>
      <c r="J29" s="699"/>
      <c r="K29" s="93"/>
    </row>
    <row r="30" spans="1:11" ht="24.75" customHeight="1" x14ac:dyDescent="0.25">
      <c r="A30" s="93"/>
      <c r="B30" s="550" t="s">
        <v>161</v>
      </c>
      <c r="C30" s="550"/>
      <c r="D30" s="550"/>
      <c r="E30" s="550"/>
      <c r="F30" s="550"/>
      <c r="G30" s="550"/>
      <c r="H30" s="550"/>
      <c r="I30" s="550"/>
      <c r="J30" s="550"/>
      <c r="K30" s="93"/>
    </row>
    <row r="31" spans="1:11" x14ac:dyDescent="0.25">
      <c r="A31" s="93"/>
      <c r="B31" s="550" t="s">
        <v>162</v>
      </c>
      <c r="C31" s="550"/>
      <c r="D31" s="550"/>
      <c r="E31" s="550"/>
      <c r="F31" s="550"/>
      <c r="G31" s="550"/>
      <c r="H31" s="550"/>
      <c r="I31" s="550"/>
      <c r="J31" s="550"/>
      <c r="K31" s="93"/>
    </row>
    <row r="32" spans="1:11" x14ac:dyDescent="0.25">
      <c r="A32" s="93"/>
      <c r="B32" s="550" t="s">
        <v>316</v>
      </c>
      <c r="C32" s="550"/>
      <c r="D32" s="550"/>
      <c r="E32" s="550"/>
      <c r="F32" s="550"/>
      <c r="G32" s="550"/>
      <c r="H32" s="550"/>
      <c r="I32" s="550"/>
      <c r="J32" s="550"/>
      <c r="K32" s="93"/>
    </row>
    <row r="33" spans="1:11" x14ac:dyDescent="0.25">
      <c r="A33" s="93"/>
      <c r="B33" s="550"/>
      <c r="C33" s="550"/>
      <c r="D33" s="550"/>
      <c r="E33" s="550"/>
      <c r="F33" s="550"/>
      <c r="G33" s="550"/>
      <c r="H33" s="550"/>
      <c r="I33" s="550"/>
      <c r="J33" s="550"/>
      <c r="K33" s="93"/>
    </row>
    <row r="34" spans="1:11" x14ac:dyDescent="0.25">
      <c r="A34" s="93"/>
      <c r="B34" s="550" t="str">
        <f>"Fonte: Proposta de PAO para "&amp;Instruções!C9</f>
        <v>Fonte: Proposta de PAO para 2024-2026</v>
      </c>
      <c r="C34" s="550"/>
      <c r="D34" s="550"/>
      <c r="E34" s="550"/>
      <c r="F34" s="550"/>
      <c r="G34" s="550"/>
      <c r="H34" s="550"/>
      <c r="I34" s="550"/>
      <c r="J34" s="550"/>
      <c r="K34" s="93"/>
    </row>
    <row r="35" spans="1:11" x14ac:dyDescent="0.25">
      <c r="A35" s="93"/>
      <c r="K35" s="93"/>
    </row>
    <row r="36" spans="1:11" x14ac:dyDescent="0.25">
      <c r="A36" s="93"/>
      <c r="B36" s="535" t="s">
        <v>336</v>
      </c>
      <c r="C36" s="66">
        <f>IF(Instruções!$C$7="","",IF(ISERROR(Instruções!$C$7),"",Instruções!$C$7-1))</f>
        <v>2022</v>
      </c>
      <c r="D36" s="95">
        <f>IF(Instruções!$C$7="","",IF(ISERROR(Instruções!$C$7),"",Instruções!$C$7))</f>
        <v>2023</v>
      </c>
      <c r="E36" s="95">
        <f>IF(Instruções!$C$7="","",IF(ISERROR(Instruções!$C$7),"",Instruções!$C$7))</f>
        <v>2023</v>
      </c>
      <c r="F36" s="67">
        <f>IF(Instruções!$C$7="","",IF(ISERROR(Instruções!$C$7),"",Instruções!$C$7+1))</f>
        <v>2024</v>
      </c>
      <c r="G36" s="68">
        <f>IF(Instruções!$C$7="","",IF(ISERROR(Instruções!$C$7),"",Instruções!$C$7+2))</f>
        <v>2025</v>
      </c>
      <c r="H36" s="69">
        <f>IF(Instruções!$C$7="","",IF(ISERROR(Instruções!$C$7),"",Instruções!$C$7+3))</f>
        <v>2026</v>
      </c>
      <c r="I36" s="547" t="str">
        <f>IF(ISERROR("Δ ("&amp;Instruções!$C$7+1&amp;"-"&amp;Instruções!$C$7&amp;")"),"","Δ ("&amp;Instruções!$C$7+1&amp;"-"&amp;Instruções!$C$7&amp;")")</f>
        <v>Δ (2024-2023)</v>
      </c>
      <c r="J36" s="548"/>
      <c r="K36" s="93"/>
    </row>
    <row r="37" spans="1:11" s="252" customFormat="1" x14ac:dyDescent="0.25">
      <c r="B37" s="535"/>
      <c r="C37" s="70" t="str">
        <f>IF(C36="","","Execução")</f>
        <v>Execução</v>
      </c>
      <c r="D37" s="96" t="str">
        <f>IF(D36="","","PAO")</f>
        <v>PAO</v>
      </c>
      <c r="E37" s="96" t="str">
        <f>IF(E36="","","Estimativa")</f>
        <v>Estimativa</v>
      </c>
      <c r="F37" s="71" t="str">
        <f>IF(F36="","","Previsão")</f>
        <v>Previsão</v>
      </c>
      <c r="G37" s="72" t="str">
        <f>IF(G36="","","Previsão")</f>
        <v>Previsão</v>
      </c>
      <c r="H37" s="73" t="str">
        <f>IF(H36="","","Previsão")</f>
        <v>Previsão</v>
      </c>
      <c r="I37" s="97" t="s">
        <v>117</v>
      </c>
      <c r="J37" s="70" t="s">
        <v>118</v>
      </c>
    </row>
    <row r="38" spans="1:11" x14ac:dyDescent="0.25">
      <c r="B38" s="110" t="s">
        <v>122</v>
      </c>
      <c r="C38" s="111" t="str">
        <f>IF(SUM(C39:C41)=0,"",SUM(C39:C41))</f>
        <v/>
      </c>
      <c r="D38" s="111" t="str">
        <f>IF(SUM(D39:D41)=0,"",SUM(D39:D41))</f>
        <v/>
      </c>
      <c r="E38" s="605" t="str">
        <f>IF(SUM(E39:E41)=0,"",SUM(E39:E41))</f>
        <v/>
      </c>
      <c r="F38" s="606" t="str">
        <f t="shared" ref="F38:H38" si="20">IF(SUM(F39:F41)=0,"",SUM(F39:F41))</f>
        <v/>
      </c>
      <c r="G38" s="111" t="str">
        <f t="shared" si="20"/>
        <v/>
      </c>
      <c r="H38" s="607" t="str">
        <f t="shared" si="20"/>
        <v/>
      </c>
      <c r="I38" s="112" t="str">
        <f t="shared" ref="I38" si="21">IF(ISERROR(F38-E38),"",F38-E38)</f>
        <v/>
      </c>
      <c r="J38" s="312" t="str">
        <f t="shared" ref="J38" si="22">IFERROR(I38/ABS(E38),"")</f>
        <v/>
      </c>
    </row>
    <row r="39" spans="1:11" x14ac:dyDescent="0.25">
      <c r="B39" s="76" t="s">
        <v>120</v>
      </c>
      <c r="C39" s="99" t="str">
        <f>IF(DR!D15="","",CMVMC_2022)</f>
        <v/>
      </c>
      <c r="D39" s="99" t="str">
        <f>IF(DR!E15="","",CMVMC_P2023)</f>
        <v/>
      </c>
      <c r="E39" s="100" t="str">
        <f>IF(DR!F15="","",CMVMC_2023)</f>
        <v/>
      </c>
      <c r="F39" s="101" t="str">
        <f>IF(DR!K15="","",CMVMC_2024)</f>
        <v/>
      </c>
      <c r="G39" s="99" t="str">
        <f>IF(DR!L15="","",CMVMC_2025)</f>
        <v/>
      </c>
      <c r="H39" s="102" t="str">
        <f>IF(DR!M15="","",CMVMC_2026)</f>
        <v/>
      </c>
      <c r="I39" s="103" t="str">
        <f>IF(ISERROR(F39-E39),"",F39-E39)</f>
        <v/>
      </c>
      <c r="J39" s="313" t="str">
        <f>IFERROR(I39/ABS(E39),"")</f>
        <v/>
      </c>
    </row>
    <row r="40" spans="1:11" x14ac:dyDescent="0.25">
      <c r="B40" s="76" t="s">
        <v>121</v>
      </c>
      <c r="C40" s="99" t="str">
        <f>IF(DR!D16="","",FSE_2022)</f>
        <v/>
      </c>
      <c r="D40" s="99" t="str">
        <f>IF(DR!E16="","",FSE_P2023)</f>
        <v/>
      </c>
      <c r="E40" s="100" t="str">
        <f>IF(DR!F16="","",FSE_2023)</f>
        <v/>
      </c>
      <c r="F40" s="101" t="str">
        <f>IF(DR!K16="","",FSE_2024)</f>
        <v/>
      </c>
      <c r="G40" s="99" t="str">
        <f>IF(DR!L16="","",FSE_2025)</f>
        <v/>
      </c>
      <c r="H40" s="102" t="str">
        <f>IF(DR!M16="","",FSE_2026)</f>
        <v/>
      </c>
      <c r="I40" s="103" t="str">
        <f>IF(ISERROR(F40-E40),"",F40-E40)</f>
        <v/>
      </c>
      <c r="J40" s="313" t="str">
        <f>IFERROR(I40/ABS(E40),"")</f>
        <v/>
      </c>
    </row>
    <row r="41" spans="1:11" x14ac:dyDescent="0.25">
      <c r="B41" s="76" t="s">
        <v>9</v>
      </c>
      <c r="C41" s="99" t="str">
        <f>IF(DR!D17="","",Gastos_Pessoal_2022)</f>
        <v/>
      </c>
      <c r="D41" s="99" t="str">
        <f>IF(DR!E17="","",Gastos_Pessoal_P2023)</f>
        <v/>
      </c>
      <c r="E41" s="100" t="str">
        <f>IF(DR!F17="","",Gastos_Pessoal_2023)</f>
        <v/>
      </c>
      <c r="F41" s="101" t="str">
        <f>IF(DR!K17="","",Gastos_Pessoal_2024)</f>
        <v/>
      </c>
      <c r="G41" s="99" t="str">
        <f>IF(DR!L17="","",Gastos_Pessoal_2025)</f>
        <v/>
      </c>
      <c r="H41" s="102" t="str">
        <f>IF(DR!M17="","",Gastos_Pessoal_2026)</f>
        <v/>
      </c>
      <c r="I41" s="103" t="str">
        <f>IF(ISERROR(F41-E41),"",F41-E41)</f>
        <v/>
      </c>
      <c r="J41" s="313" t="str">
        <f>IFERROR(I41/ABS(E41),"")</f>
        <v/>
      </c>
    </row>
    <row r="42" spans="1:11" ht="3" customHeight="1" x14ac:dyDescent="0.25">
      <c r="A42" s="93"/>
      <c r="B42" s="105"/>
      <c r="C42" s="107"/>
      <c r="D42" s="107"/>
      <c r="E42" s="107"/>
      <c r="F42" s="608"/>
      <c r="G42" s="107"/>
      <c r="H42" s="609"/>
      <c r="I42" s="106"/>
      <c r="J42" s="108"/>
      <c r="K42" s="93"/>
    </row>
    <row r="43" spans="1:11" x14ac:dyDescent="0.25">
      <c r="A43" s="93"/>
      <c r="B43" s="110" t="s">
        <v>314</v>
      </c>
      <c r="C43" s="111" t="str">
        <f t="shared" ref="C43:H43" si="23">IF(COUNT(C44:C46)=0,"",SUM(C44:C46))</f>
        <v/>
      </c>
      <c r="D43" s="111" t="str">
        <f t="shared" si="23"/>
        <v/>
      </c>
      <c r="E43" s="605" t="str">
        <f t="shared" si="23"/>
        <v/>
      </c>
      <c r="F43" s="606" t="str">
        <f t="shared" si="23"/>
        <v/>
      </c>
      <c r="G43" s="111" t="str">
        <f t="shared" si="23"/>
        <v/>
      </c>
      <c r="H43" s="607" t="str">
        <f t="shared" si="23"/>
        <v/>
      </c>
      <c r="I43" s="112" t="str">
        <f t="shared" ref="I43" si="24">IF(ISERROR(F43-E43),"",F43-E43)</f>
        <v/>
      </c>
      <c r="J43" s="132" t="str">
        <f t="shared" ref="J43:J46" si="25">IFERROR(I43/ABS(E43),"")</f>
        <v/>
      </c>
      <c r="K43" s="93"/>
    </row>
    <row r="44" spans="1:11" x14ac:dyDescent="0.25">
      <c r="A44" s="93"/>
      <c r="B44" s="76" t="s">
        <v>152</v>
      </c>
      <c r="C44" s="143"/>
      <c r="D44" s="143"/>
      <c r="E44" s="144"/>
      <c r="F44" s="145"/>
      <c r="G44" s="143"/>
      <c r="H44" s="146"/>
      <c r="I44" s="103" t="str">
        <f t="shared" ref="I44:I46" si="26">IF(AND(E44="",F44=""),"",IF(ISERROR(F44-E44),"",F44-E44))</f>
        <v/>
      </c>
      <c r="J44" s="104" t="str">
        <f t="shared" si="25"/>
        <v/>
      </c>
      <c r="K44" s="93"/>
    </row>
    <row r="45" spans="1:11" x14ac:dyDescent="0.25">
      <c r="A45" s="93"/>
      <c r="B45" s="76" t="s">
        <v>153</v>
      </c>
      <c r="C45" s="143"/>
      <c r="D45" s="143"/>
      <c r="E45" s="144"/>
      <c r="F45" s="145"/>
      <c r="G45" s="143"/>
      <c r="H45" s="146"/>
      <c r="I45" s="697" t="str">
        <f t="shared" si="26"/>
        <v/>
      </c>
      <c r="J45" s="104" t="str">
        <f t="shared" si="25"/>
        <v/>
      </c>
      <c r="K45" s="93"/>
    </row>
    <row r="46" spans="1:11" x14ac:dyDescent="0.25">
      <c r="A46" s="93"/>
      <c r="B46" s="77"/>
      <c r="C46" s="143"/>
      <c r="D46" s="143"/>
      <c r="E46" s="144"/>
      <c r="F46" s="145"/>
      <c r="G46" s="143"/>
      <c r="H46" s="146"/>
      <c r="I46" s="103" t="str">
        <f t="shared" si="26"/>
        <v/>
      </c>
      <c r="J46" s="104" t="str">
        <f t="shared" si="25"/>
        <v/>
      </c>
      <c r="K46" s="93"/>
    </row>
    <row r="47" spans="1:11" ht="3" customHeight="1" x14ac:dyDescent="0.25">
      <c r="A47" s="93"/>
      <c r="B47" s="113"/>
      <c r="C47" s="116"/>
      <c r="D47" s="116"/>
      <c r="E47" s="116"/>
      <c r="F47" s="115"/>
      <c r="G47" s="116"/>
      <c r="H47" s="117"/>
      <c r="I47" s="114"/>
      <c r="J47" s="118"/>
      <c r="K47" s="93"/>
    </row>
    <row r="48" spans="1:11" x14ac:dyDescent="0.25">
      <c r="B48" s="44" t="s">
        <v>249</v>
      </c>
      <c r="C48" s="61" t="str">
        <f t="shared" ref="C48:H48" si="27">IF(COUNT(C38,C43)=0,"",-SUM(C38,C43))</f>
        <v/>
      </c>
      <c r="D48" s="61" t="str">
        <f t="shared" si="27"/>
        <v/>
      </c>
      <c r="E48" s="61" t="str">
        <f t="shared" si="27"/>
        <v/>
      </c>
      <c r="F48" s="610" t="str">
        <f t="shared" si="27"/>
        <v/>
      </c>
      <c r="G48" s="61" t="str">
        <f t="shared" si="27"/>
        <v/>
      </c>
      <c r="H48" s="611" t="str">
        <f t="shared" si="27"/>
        <v/>
      </c>
      <c r="I48" s="62" t="str">
        <f>IF(ISERROR(F48-E48),"",F48-E48)</f>
        <v/>
      </c>
      <c r="J48" s="314" t="str">
        <f>IFERROR(I48/ABS(E48),"")</f>
        <v/>
      </c>
    </row>
    <row r="49" spans="2:10" x14ac:dyDescent="0.25">
      <c r="B49" s="113"/>
      <c r="C49" s="114"/>
      <c r="D49" s="114"/>
      <c r="E49" s="114"/>
      <c r="F49" s="115"/>
      <c r="G49" s="116"/>
      <c r="H49" s="117"/>
      <c r="I49" s="114"/>
      <c r="J49" s="315"/>
    </row>
    <row r="50" spans="2:10" x14ac:dyDescent="0.25">
      <c r="B50" s="98" t="s">
        <v>337</v>
      </c>
      <c r="C50" s="143"/>
      <c r="D50" s="143"/>
      <c r="E50" s="144"/>
      <c r="F50" s="145"/>
      <c r="G50" s="143"/>
      <c r="H50" s="146"/>
      <c r="I50" s="103">
        <f>IF(ISERROR(F50-E50),"",F50-E50)</f>
        <v>0</v>
      </c>
      <c r="J50" s="313" t="str">
        <f>IFERROR(I50/ABS(E50),"")</f>
        <v/>
      </c>
    </row>
    <row r="51" spans="2:10" x14ac:dyDescent="0.25">
      <c r="B51" s="98" t="s">
        <v>342</v>
      </c>
      <c r="C51" s="143"/>
      <c r="D51" s="143"/>
      <c r="E51" s="144"/>
      <c r="F51" s="145"/>
      <c r="G51" s="143"/>
      <c r="H51" s="146"/>
      <c r="I51" s="103">
        <f>IF(ISERROR(F51-E51),"",F51-E51)</f>
        <v>0</v>
      </c>
      <c r="J51" s="313" t="str">
        <f>IFERROR(I51/ABS(E51),"")</f>
        <v/>
      </c>
    </row>
    <row r="52" spans="2:10" ht="3" customHeight="1" x14ac:dyDescent="0.25">
      <c r="B52" s="113"/>
      <c r="C52" s="114"/>
      <c r="D52" s="114"/>
      <c r="E52" s="114"/>
      <c r="F52" s="115"/>
      <c r="G52" s="116"/>
      <c r="H52" s="117"/>
      <c r="I52" s="114"/>
      <c r="J52" s="315"/>
    </row>
    <row r="53" spans="2:10" x14ac:dyDescent="0.25">
      <c r="B53" s="44" t="s">
        <v>344</v>
      </c>
      <c r="C53" s="61" t="str">
        <f>IF(COUNT(C50,C51)=0,"",PRODUCT(C50,C51))</f>
        <v/>
      </c>
      <c r="D53" s="61" t="str">
        <f>IF(COUNT(D50,D51)=0,"",PRODUCT(D50,D51))</f>
        <v/>
      </c>
      <c r="E53" s="61" t="str">
        <f>IF(COUNT(E50,E51)=0,"",PRODUCT(E50,E51))</f>
        <v/>
      </c>
      <c r="F53" s="610" t="str">
        <f>IF(COUNT(F50,F51)=0,"",PRODUCT(F50,F51))</f>
        <v/>
      </c>
      <c r="G53" s="61" t="str">
        <f>IF(COUNT(G50,G51)=0,"",PRODUCT(G50,G51))</f>
        <v/>
      </c>
      <c r="H53" s="611" t="str">
        <f>IF(COUNT(H50,H51)=0,"",PRODUCT(H50,H51))</f>
        <v/>
      </c>
      <c r="I53" s="62" t="str">
        <f>IF(ISERROR(F53-E53),"",F53-E53)</f>
        <v/>
      </c>
      <c r="J53" s="314" t="str">
        <f>IFERROR(I53/ABS(E53),"")</f>
        <v/>
      </c>
    </row>
    <row r="54" spans="2:10" x14ac:dyDescent="0.25">
      <c r="B54" s="93"/>
      <c r="C54" s="93"/>
      <c r="D54" s="93"/>
      <c r="E54" s="93"/>
      <c r="F54" s="119"/>
      <c r="G54" s="120"/>
      <c r="H54" s="121"/>
      <c r="I54" s="93"/>
      <c r="J54" s="316"/>
    </row>
    <row r="55" spans="2:10" x14ac:dyDescent="0.25">
      <c r="B55" s="63" t="s">
        <v>341</v>
      </c>
      <c r="C55" s="595" t="str">
        <f>IFERROR(C48/C53,"")</f>
        <v/>
      </c>
      <c r="D55" s="595" t="str">
        <f>IFERROR(D48/D53,"")</f>
        <v/>
      </c>
      <c r="E55" s="595" t="str">
        <f>IFERROR(E48/E53,"")</f>
        <v/>
      </c>
      <c r="F55" s="612" t="str">
        <f>IFERROR(F48/F53,"")</f>
        <v/>
      </c>
      <c r="G55" s="613" t="str">
        <f>IFERROR(G48/G53,"")</f>
        <v/>
      </c>
      <c r="H55" s="614" t="str">
        <f>IFERROR(H48/H53,"")</f>
        <v/>
      </c>
      <c r="I55" s="127" t="str">
        <f>IF(AND(E55="",F55=""),"",IF(ISERROR(F55-E55),"",F55-E55))</f>
        <v/>
      </c>
      <c r="J55" s="122" t="str">
        <f>IFERROR(I55/ABS(E55),"")</f>
        <v/>
      </c>
    </row>
    <row r="56" spans="2:10" x14ac:dyDescent="0.25"/>
    <row r="57" spans="2:10" x14ac:dyDescent="0.25">
      <c r="B57" s="549" t="s">
        <v>343</v>
      </c>
      <c r="C57" s="549"/>
      <c r="D57" s="549"/>
      <c r="E57" s="549"/>
      <c r="F57" s="549"/>
      <c r="G57" s="549"/>
      <c r="H57" s="549"/>
      <c r="I57" s="549"/>
      <c r="J57" s="549"/>
    </row>
    <row r="58" spans="2:10" x14ac:dyDescent="0.25">
      <c r="B58" s="549"/>
      <c r="C58" s="549"/>
      <c r="D58" s="549"/>
      <c r="E58" s="549"/>
      <c r="F58" s="549"/>
      <c r="G58" s="549"/>
      <c r="H58" s="549"/>
      <c r="I58" s="549"/>
      <c r="J58" s="549"/>
    </row>
    <row r="59" spans="2:10" x14ac:dyDescent="0.25">
      <c r="B59" s="512" t="s">
        <v>337</v>
      </c>
    </row>
    <row r="60" spans="2:10" x14ac:dyDescent="0.25">
      <c r="B60" s="512" t="s">
        <v>365</v>
      </c>
    </row>
    <row r="61" spans="2:10" x14ac:dyDescent="0.25"/>
  </sheetData>
  <sheetProtection sheet="1" selectLockedCells="1"/>
  <mergeCells count="10">
    <mergeCell ref="B36:B37"/>
    <mergeCell ref="I36:J36"/>
    <mergeCell ref="B57:J58"/>
    <mergeCell ref="B2:B3"/>
    <mergeCell ref="I2:J2"/>
    <mergeCell ref="B30:J30"/>
    <mergeCell ref="B34:J34"/>
    <mergeCell ref="B31:J31"/>
    <mergeCell ref="B32:J33"/>
    <mergeCell ref="I29:J29"/>
  </mergeCells>
  <dataValidations count="3">
    <dataValidation type="custom" allowBlank="1" showInputMessage="1" showErrorMessage="1" errorTitle="Erro" error="Não introduzir dados nesta célula" sqref="B1:J1 B34:J34 K1:K31 B31:J31 A1:A47 K46:XFD47 K33:K1048576" xr:uid="{29B84EEE-78C0-4C5E-85D8-5DCDB6BE23AE}">
      <formula1>"&lt;&gt;"""""</formula1>
    </dataValidation>
    <dataValidation allowBlank="1" showInputMessage="1" showErrorMessage="1" errorTitle="Erro" error="Não introduzir dados nesta célula" sqref="B32 K32" xr:uid="{DF5F5D95-8FCE-45B5-8975-C80FB58C750F}"/>
    <dataValidation type="list" allowBlank="1" showInputMessage="1" showErrorMessage="1" sqref="B50" xr:uid="{C9762AE1-C1A1-4DE0-925C-9F552D923366}">
      <formula1>$B$59:$B$60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I21:I22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9E8B3-5D74-4159-88A5-7878A425AA98}">
  <sheetPr>
    <tabColor theme="4" tint="0.59999389629810485"/>
    <pageSetUpPr fitToPage="1"/>
  </sheetPr>
  <dimension ref="A1:L48"/>
  <sheetViews>
    <sheetView showGridLines="0" zoomScaleNormal="100" workbookViewId="0">
      <selection activeCell="F46" sqref="F46"/>
    </sheetView>
  </sheetViews>
  <sheetFormatPr defaultColWidth="0" defaultRowHeight="15" zeroHeight="1" x14ac:dyDescent="0.25"/>
  <cols>
    <col min="1" max="1" width="1.85546875" style="39" customWidth="1"/>
    <col min="2" max="2" width="57.28515625" style="40" customWidth="1"/>
    <col min="3" max="5" width="12.7109375" style="40" customWidth="1"/>
    <col min="6" max="10" width="12.7109375" style="39" customWidth="1"/>
    <col min="11" max="12" width="9.140625" style="39" customWidth="1"/>
    <col min="13" max="16384" width="9.140625" style="39" hidden="1"/>
  </cols>
  <sheetData>
    <row r="1" spans="1:11" s="93" customFormat="1" x14ac:dyDescent="0.25">
      <c r="A1" s="75"/>
      <c r="B1" s="142"/>
      <c r="C1" s="142"/>
      <c r="D1" s="142"/>
      <c r="E1" s="142"/>
      <c r="F1" s="142"/>
      <c r="G1" s="142"/>
      <c r="H1" s="142"/>
      <c r="I1" s="142"/>
      <c r="J1" s="75"/>
      <c r="K1" s="75"/>
    </row>
    <row r="2" spans="1:11" s="93" customFormat="1" x14ac:dyDescent="0.25">
      <c r="B2" s="134"/>
      <c r="C2" s="134"/>
      <c r="D2" s="134"/>
      <c r="E2" s="134"/>
      <c r="F2" s="64"/>
      <c r="G2" s="64"/>
      <c r="H2" s="64" t="s">
        <v>151</v>
      </c>
      <c r="I2" s="26"/>
    </row>
    <row r="3" spans="1:11" s="93" customFormat="1" ht="15" customHeight="1" x14ac:dyDescent="0.25">
      <c r="B3" s="535" t="s">
        <v>156</v>
      </c>
      <c r="C3" s="66">
        <f>IF(Instruções!C7="","",IF(ISERROR(Instruções!C7),"",Instruções!C7-1))</f>
        <v>2022</v>
      </c>
      <c r="D3" s="95">
        <f>IF(Instruções!$C$7="","",IF(ISERROR(Instruções!$C$7),"",Instruções!$C$7))</f>
        <v>2023</v>
      </c>
      <c r="E3" s="95">
        <f>IF(Instruções!$C$7="","",IF(ISERROR(Instruções!$C$7),"",Instruções!$C$7))</f>
        <v>2023</v>
      </c>
      <c r="F3" s="657">
        <f>IF(Instruções!C7="","",IF(ISERROR(Instruções!C7),"",Instruções!C7+1))</f>
        <v>2024</v>
      </c>
      <c r="G3" s="69">
        <f>IF(Instruções!C7="","",IF(ISERROR(Instruções!C7),"",Instruções!C7+2))</f>
        <v>2025</v>
      </c>
      <c r="H3" s="69">
        <f>IF(Instruções!C7="","",IF(ISERROR(Instruções!C7),"",Instruções!C7+3))</f>
        <v>2026</v>
      </c>
      <c r="I3" s="547" t="str">
        <f>IF(ISERROR("Δ ("&amp;Instruções!C7+1&amp;"-"&amp;Instruções!C7&amp;")"),"","Δ ("&amp;Instruções!C7+1&amp;"-"&amp;Instruções!C7&amp;")")</f>
        <v>Δ (2024-2023)</v>
      </c>
      <c r="J3" s="548"/>
    </row>
    <row r="4" spans="1:11" s="93" customFormat="1" ht="14.25" customHeight="1" x14ac:dyDescent="0.25">
      <c r="B4" s="535"/>
      <c r="C4" s="70" t="str">
        <f>IF(C3="","","Execução")</f>
        <v>Execução</v>
      </c>
      <c r="D4" s="389" t="str">
        <f>IF(D3="","","PAO")</f>
        <v>PAO</v>
      </c>
      <c r="E4" s="389" t="str">
        <f>IF(E3="","","Estimativa")</f>
        <v>Estimativa</v>
      </c>
      <c r="F4" s="658" t="str">
        <f>IF(F3="","","Previsão")</f>
        <v>Previsão</v>
      </c>
      <c r="G4" s="390" t="str">
        <f>IF(G3="","","Previsão")</f>
        <v>Previsão</v>
      </c>
      <c r="H4" s="390" t="str">
        <f>IF(H3="","","Previsão")</f>
        <v>Previsão</v>
      </c>
      <c r="I4" s="97" t="s">
        <v>117</v>
      </c>
      <c r="J4" s="70" t="s">
        <v>118</v>
      </c>
    </row>
    <row r="5" spans="1:11" s="433" customFormat="1" ht="3" customHeight="1" x14ac:dyDescent="0.25">
      <c r="E5" s="434"/>
      <c r="F5" s="659"/>
      <c r="G5" s="434"/>
      <c r="H5" s="660"/>
    </row>
    <row r="6" spans="1:11" s="93" customFormat="1" ht="21.75" customHeight="1" x14ac:dyDescent="0.25">
      <c r="B6" s="44" t="s">
        <v>124</v>
      </c>
      <c r="C6" s="60" t="str">
        <f t="shared" ref="C6:H6" si="0">IF(COUNT(C7:C9)=0,"",SUM(C7:C9))</f>
        <v/>
      </c>
      <c r="D6" s="391" t="str">
        <f t="shared" si="0"/>
        <v/>
      </c>
      <c r="E6" s="651" t="str">
        <f t="shared" si="0"/>
        <v/>
      </c>
      <c r="F6" s="661" t="str">
        <f t="shared" si="0"/>
        <v/>
      </c>
      <c r="G6" s="391" t="str">
        <f t="shared" si="0"/>
        <v/>
      </c>
      <c r="H6" s="662" t="str">
        <f t="shared" si="0"/>
        <v/>
      </c>
      <c r="I6" s="62" t="str">
        <f>IF(AND(E6="",F6=""),"",IF(ISERROR(F6-E6),"",F6-E6))</f>
        <v/>
      </c>
      <c r="J6" s="50" t="str">
        <f>IFERROR(I6/ABS(E6),"")</f>
        <v/>
      </c>
    </row>
    <row r="7" spans="1:11" s="93" customFormat="1" x14ac:dyDescent="0.25">
      <c r="B7" s="98" t="s">
        <v>125</v>
      </c>
      <c r="C7" s="143"/>
      <c r="D7" s="143"/>
      <c r="E7" s="144"/>
      <c r="F7" s="145"/>
      <c r="G7" s="143"/>
      <c r="H7" s="146"/>
      <c r="I7" s="103" t="str">
        <f>IF(AND(E7="",F7=""),"",IF(ISERROR(F7-E7),"",F7-E7))</f>
        <v/>
      </c>
      <c r="J7" s="311" t="str">
        <f>IFERROR(I7/ABS(E7),"")</f>
        <v/>
      </c>
    </row>
    <row r="8" spans="1:11" s="93" customFormat="1" x14ac:dyDescent="0.25">
      <c r="B8" s="98" t="s">
        <v>126</v>
      </c>
      <c r="C8" s="143"/>
      <c r="D8" s="144"/>
      <c r="E8" s="144"/>
      <c r="F8" s="663"/>
      <c r="G8" s="146"/>
      <c r="H8" s="146"/>
      <c r="I8" s="103" t="str">
        <f>IF(AND(E8="",F8=""),"",IF(ISERROR(F8-E8),"",F8-E8))</f>
        <v/>
      </c>
      <c r="J8" s="311" t="str">
        <f>IFERROR(I8/ABS(E8),"")</f>
        <v/>
      </c>
    </row>
    <row r="9" spans="1:11" s="93" customFormat="1" x14ac:dyDescent="0.25">
      <c r="B9" s="98" t="s">
        <v>127</v>
      </c>
      <c r="C9" s="143"/>
      <c r="D9" s="143"/>
      <c r="E9" s="144"/>
      <c r="F9" s="664"/>
      <c r="G9" s="261"/>
      <c r="H9" s="665"/>
      <c r="I9" s="387" t="str">
        <f>IF(AND(E9="",F9=""),"",IF(ISERROR(F9-E9),"",F9-E9))</f>
        <v/>
      </c>
      <c r="J9" s="311" t="str">
        <f>IFERROR(I9/ABS(E9),"")</f>
        <v/>
      </c>
    </row>
    <row r="10" spans="1:11" s="93" customFormat="1" ht="5.25" customHeight="1" x14ac:dyDescent="0.25">
      <c r="B10" s="109"/>
      <c r="C10" s="135"/>
      <c r="D10" s="135"/>
      <c r="E10" s="136"/>
      <c r="F10" s="137"/>
      <c r="G10" s="136"/>
      <c r="H10" s="138"/>
      <c r="I10" s="136"/>
      <c r="J10" s="136"/>
      <c r="K10" s="136"/>
    </row>
    <row r="11" spans="1:11" s="93" customFormat="1" ht="21" customHeight="1" x14ac:dyDescent="0.25">
      <c r="B11" s="63" t="s">
        <v>290</v>
      </c>
      <c r="C11" s="140" t="str">
        <f t="shared" ref="C11:H11" si="1">IF(COUNT(C12:C18)=0,"",SUM(C12:C18))</f>
        <v/>
      </c>
      <c r="D11" s="140" t="str">
        <f t="shared" si="1"/>
        <v/>
      </c>
      <c r="E11" s="183" t="str">
        <f t="shared" si="1"/>
        <v/>
      </c>
      <c r="F11" s="666" t="str">
        <f t="shared" si="1"/>
        <v/>
      </c>
      <c r="G11" s="140" t="str">
        <f t="shared" si="1"/>
        <v/>
      </c>
      <c r="H11" s="667" t="str">
        <f t="shared" si="1"/>
        <v/>
      </c>
      <c r="I11" s="392" t="str">
        <f>IF(ISERROR(F11-E11),"",F11-E11)</f>
        <v/>
      </c>
      <c r="J11" s="122" t="str">
        <f>IFERROR(I11/ABS(E11),"")</f>
        <v/>
      </c>
    </row>
    <row r="12" spans="1:11" s="93" customFormat="1" x14ac:dyDescent="0.25">
      <c r="B12" s="98" t="s">
        <v>291</v>
      </c>
      <c r="C12" s="143"/>
      <c r="D12" s="143"/>
      <c r="E12" s="144"/>
      <c r="F12" s="145"/>
      <c r="G12" s="143"/>
      <c r="H12" s="146"/>
      <c r="I12" s="103" t="str">
        <f t="shared" ref="I12:I18" si="2">IF(AND(E12="",F12=""),"",IF(ISERROR(F12-E12),"",F12-E12))</f>
        <v/>
      </c>
      <c r="J12" s="311" t="str">
        <f t="shared" ref="J12:J31" si="3">IFERROR(I12/ABS(E12),"")</f>
        <v/>
      </c>
    </row>
    <row r="13" spans="1:11" s="93" customFormat="1" x14ac:dyDescent="0.25">
      <c r="B13" s="98" t="s">
        <v>128</v>
      </c>
      <c r="C13" s="143"/>
      <c r="D13" s="143"/>
      <c r="E13" s="144"/>
      <c r="F13" s="145"/>
      <c r="G13" s="143"/>
      <c r="H13" s="146"/>
      <c r="I13" s="103" t="str">
        <f t="shared" si="2"/>
        <v/>
      </c>
      <c r="J13" s="311" t="str">
        <f t="shared" si="3"/>
        <v/>
      </c>
    </row>
    <row r="14" spans="1:11" s="93" customFormat="1" x14ac:dyDescent="0.25">
      <c r="B14" s="98" t="s">
        <v>129</v>
      </c>
      <c r="C14" s="143"/>
      <c r="D14" s="143"/>
      <c r="E14" s="144"/>
      <c r="F14" s="145"/>
      <c r="G14" s="143"/>
      <c r="H14" s="146"/>
      <c r="I14" s="103" t="str">
        <f t="shared" si="2"/>
        <v/>
      </c>
      <c r="J14" s="311" t="str">
        <f t="shared" si="3"/>
        <v/>
      </c>
    </row>
    <row r="15" spans="1:11" s="93" customFormat="1" x14ac:dyDescent="0.25">
      <c r="B15" s="98" t="s">
        <v>157</v>
      </c>
      <c r="C15" s="143"/>
      <c r="D15" s="143"/>
      <c r="E15" s="144"/>
      <c r="F15" s="145"/>
      <c r="G15" s="143"/>
      <c r="H15" s="146"/>
      <c r="I15" s="103" t="str">
        <f>IF(AND(E15="",F15=""),"",IF(ISERROR(F15-E15),"",F15-E15))</f>
        <v/>
      </c>
      <c r="J15" s="311" t="str">
        <f t="shared" si="3"/>
        <v/>
      </c>
    </row>
    <row r="16" spans="1:11" s="93" customFormat="1" x14ac:dyDescent="0.25">
      <c r="B16" s="98" t="s">
        <v>134</v>
      </c>
      <c r="C16" s="143"/>
      <c r="D16" s="143"/>
      <c r="E16" s="144"/>
      <c r="F16" s="145"/>
      <c r="G16" s="143"/>
      <c r="H16" s="146"/>
      <c r="I16" s="103" t="str">
        <f t="shared" si="2"/>
        <v/>
      </c>
      <c r="J16" s="311" t="str">
        <f t="shared" si="3"/>
        <v/>
      </c>
    </row>
    <row r="17" spans="2:11" s="93" customFormat="1" x14ac:dyDescent="0.25">
      <c r="B17" s="98" t="s">
        <v>159</v>
      </c>
      <c r="C17" s="143"/>
      <c r="D17" s="143"/>
      <c r="E17" s="144"/>
      <c r="F17" s="145"/>
      <c r="G17" s="143"/>
      <c r="H17" s="146"/>
      <c r="I17" s="103" t="str">
        <f t="shared" si="2"/>
        <v/>
      </c>
      <c r="J17" s="311" t="str">
        <f t="shared" si="3"/>
        <v/>
      </c>
    </row>
    <row r="18" spans="2:11" s="93" customFormat="1" x14ac:dyDescent="0.25">
      <c r="B18" s="98" t="s">
        <v>158</v>
      </c>
      <c r="C18" s="143"/>
      <c r="D18" s="261"/>
      <c r="E18" s="652"/>
      <c r="F18" s="664"/>
      <c r="G18" s="261"/>
      <c r="H18" s="665"/>
      <c r="I18" s="387" t="str">
        <f t="shared" si="2"/>
        <v/>
      </c>
      <c r="J18" s="311" t="str">
        <f t="shared" si="3"/>
        <v/>
      </c>
    </row>
    <row r="19" spans="2:11" s="507" customFormat="1" ht="3" customHeight="1" x14ac:dyDescent="0.25">
      <c r="B19" s="424"/>
      <c r="C19" s="425"/>
      <c r="D19" s="508"/>
      <c r="E19" s="653"/>
      <c r="F19" s="668"/>
      <c r="G19" s="508"/>
      <c r="H19" s="669"/>
      <c r="I19" s="509"/>
      <c r="J19" s="419"/>
    </row>
    <row r="20" spans="2:11" s="93" customFormat="1" x14ac:dyDescent="0.25">
      <c r="B20" s="44" t="s">
        <v>335</v>
      </c>
      <c r="C20" s="60"/>
      <c r="D20" s="391"/>
      <c r="E20" s="651"/>
      <c r="F20" s="661"/>
      <c r="G20" s="391"/>
      <c r="H20" s="662"/>
      <c r="I20" s="62"/>
      <c r="J20" s="50"/>
    </row>
    <row r="21" spans="2:11" s="93" customFormat="1" ht="21" x14ac:dyDescent="0.25">
      <c r="B21" s="677" t="str">
        <f>"(i) Gastos com as contratações autorizadas ou previstas em "&amp;Instruções!C7</f>
        <v>(i) Gastos com as contratações autorizadas ou previstas em 2023</v>
      </c>
      <c r="C21" s="143"/>
      <c r="D21" s="143"/>
      <c r="E21" s="144"/>
      <c r="F21" s="145"/>
      <c r="G21" s="143"/>
      <c r="H21" s="146"/>
      <c r="I21" s="103" t="str">
        <f>IF(AND(E21="",F21=""),"",IF(ISERROR(F21-E21),"",F21-E21))</f>
        <v/>
      </c>
      <c r="J21" s="311" t="str">
        <f>IFERROR(I21/ABS(E21),"")</f>
        <v/>
      </c>
    </row>
    <row r="22" spans="2:11" s="93" customFormat="1" ht="21" x14ac:dyDescent="0.25">
      <c r="B22" s="98" t="s">
        <v>348</v>
      </c>
      <c r="C22" s="143"/>
      <c r="D22" s="143"/>
      <c r="E22" s="144"/>
      <c r="F22" s="145"/>
      <c r="G22" s="143"/>
      <c r="H22" s="146"/>
      <c r="I22" s="103" t="str">
        <f>IF(AND(E22="",F22=""),"",IF(ISERROR(F22-E22),"",F22-E22))</f>
        <v/>
      </c>
      <c r="J22" s="311" t="str">
        <f>IFERROR(I22/ABS(E22),"")</f>
        <v/>
      </c>
    </row>
    <row r="23" spans="2:11" s="93" customFormat="1" x14ac:dyDescent="0.25">
      <c r="B23" s="98" t="s">
        <v>289</v>
      </c>
      <c r="C23" s="143"/>
      <c r="D23" s="143"/>
      <c r="E23" s="144"/>
      <c r="F23" s="145"/>
      <c r="G23" s="143"/>
      <c r="H23" s="146"/>
      <c r="I23" s="103" t="str">
        <f>IF(AND(E23="",F23=""),"",IF(ISERROR(F23-E23),"",F23-E23))</f>
        <v/>
      </c>
      <c r="J23" s="311" t="str">
        <f>IFERROR(I23/ABS(E23),"")</f>
        <v/>
      </c>
    </row>
    <row r="24" spans="2:11" s="93" customFormat="1" x14ac:dyDescent="0.25">
      <c r="B24" s="98" t="s">
        <v>350</v>
      </c>
      <c r="C24" s="143"/>
      <c r="D24" s="143"/>
      <c r="E24" s="144"/>
      <c r="F24" s="145"/>
      <c r="G24" s="143"/>
      <c r="H24" s="146"/>
      <c r="I24" s="103"/>
      <c r="J24" s="311"/>
    </row>
    <row r="25" spans="2:11" s="93" customFormat="1" x14ac:dyDescent="0.25">
      <c r="B25" s="98" t="s">
        <v>351</v>
      </c>
      <c r="C25" s="143"/>
      <c r="D25" s="143"/>
      <c r="E25" s="144"/>
      <c r="F25" s="145"/>
      <c r="G25" s="143"/>
      <c r="H25" s="146"/>
      <c r="I25" s="103" t="str">
        <f>IF(AND(E25="",F25=""),"",IF(ISERROR(F25-E25),"",F25-E25))</f>
        <v/>
      </c>
      <c r="J25" s="311" t="str">
        <f>IFERROR(I25/ABS(E25),"")</f>
        <v/>
      </c>
    </row>
    <row r="26" spans="2:11" s="93" customFormat="1" x14ac:dyDescent="0.25">
      <c r="B26" s="98" t="s">
        <v>352</v>
      </c>
      <c r="C26" s="143"/>
      <c r="D26" s="143"/>
      <c r="E26" s="144"/>
      <c r="F26" s="145"/>
      <c r="G26" s="143"/>
      <c r="H26" s="146"/>
      <c r="I26" s="103" t="str">
        <f>IF(AND(E26="",F26=""),"",IF(ISERROR(F26-E26),"",F26-E26))</f>
        <v/>
      </c>
      <c r="J26" s="311" t="str">
        <f>IFERROR(I26/ABS(E26),"")</f>
        <v/>
      </c>
    </row>
    <row r="27" spans="2:11" s="93" customFormat="1" x14ac:dyDescent="0.25">
      <c r="B27" s="98" t="s">
        <v>356</v>
      </c>
      <c r="C27" s="143"/>
      <c r="D27" s="143"/>
      <c r="E27" s="144"/>
      <c r="F27" s="145"/>
      <c r="G27" s="143"/>
      <c r="H27" s="146"/>
      <c r="I27" s="103"/>
      <c r="J27" s="311"/>
    </row>
    <row r="28" spans="2:11" s="93" customFormat="1" ht="5.25" customHeight="1" x14ac:dyDescent="0.25">
      <c r="B28" s="109"/>
      <c r="C28" s="135"/>
      <c r="D28" s="135"/>
      <c r="E28" s="136"/>
      <c r="F28" s="137"/>
      <c r="G28" s="136"/>
      <c r="H28" s="138"/>
      <c r="I28" s="136"/>
      <c r="J28" s="318"/>
      <c r="K28" s="136"/>
    </row>
    <row r="29" spans="2:11" s="93" customFormat="1" ht="15" customHeight="1" x14ac:dyDescent="0.25">
      <c r="B29" s="44" t="s">
        <v>367</v>
      </c>
      <c r="C29" s="60"/>
      <c r="D29" s="391"/>
      <c r="E29" s="651"/>
      <c r="F29" s="661"/>
      <c r="G29" s="391"/>
      <c r="H29" s="662"/>
      <c r="I29" s="62"/>
      <c r="J29" s="50"/>
      <c r="K29" s="136"/>
    </row>
    <row r="30" spans="2:11" s="93" customFormat="1" x14ac:dyDescent="0.25">
      <c r="B30" s="98" t="s">
        <v>240</v>
      </c>
      <c r="C30" s="99" t="str">
        <f t="shared" ref="C30:H30" si="4">IF(C12="","",-C12)</f>
        <v/>
      </c>
      <c r="D30" s="388" t="str">
        <f t="shared" si="4"/>
        <v/>
      </c>
      <c r="E30" s="654" t="str">
        <f t="shared" si="4"/>
        <v/>
      </c>
      <c r="F30" s="479" t="str">
        <f t="shared" si="4"/>
        <v/>
      </c>
      <c r="G30" s="388" t="str">
        <f t="shared" si="4"/>
        <v/>
      </c>
      <c r="H30" s="670" t="str">
        <f t="shared" si="4"/>
        <v/>
      </c>
      <c r="I30" s="656" t="str">
        <f t="shared" ref="I30" si="5">IF(ISERROR(F30-E30),"",F30-E30)</f>
        <v/>
      </c>
      <c r="J30" s="311" t="str">
        <f t="shared" si="3"/>
        <v/>
      </c>
    </row>
    <row r="31" spans="2:11" s="93" customFormat="1" x14ac:dyDescent="0.25">
      <c r="B31" s="98" t="s">
        <v>130</v>
      </c>
      <c r="C31" s="99" t="str">
        <f t="shared" ref="C31:H31" si="6">IF(C23="","",-C23)</f>
        <v/>
      </c>
      <c r="D31" s="99" t="str">
        <f t="shared" si="6"/>
        <v/>
      </c>
      <c r="E31" s="100" t="str">
        <f t="shared" si="6"/>
        <v/>
      </c>
      <c r="F31" s="101" t="str">
        <f t="shared" si="6"/>
        <v/>
      </c>
      <c r="G31" s="99" t="str">
        <f t="shared" si="6"/>
        <v/>
      </c>
      <c r="H31" s="102" t="str">
        <f t="shared" si="6"/>
        <v/>
      </c>
      <c r="I31" s="103" t="str">
        <f t="shared" ref="I31" si="7">IF(AND(E31="",F31=""),"",IF(ISERROR(F31-E31),"",F31-E31))</f>
        <v/>
      </c>
      <c r="J31" s="311" t="str">
        <f t="shared" si="3"/>
        <v/>
      </c>
    </row>
    <row r="32" spans="2:11" s="93" customFormat="1" x14ac:dyDescent="0.25">
      <c r="B32" s="98" t="s">
        <v>131</v>
      </c>
      <c r="C32" s="99" t="str">
        <f t="shared" ref="C32:H32" si="8">IF(C25="","",-C25)</f>
        <v/>
      </c>
      <c r="D32" s="99" t="str">
        <f t="shared" si="8"/>
        <v/>
      </c>
      <c r="E32" s="100" t="str">
        <f t="shared" si="8"/>
        <v/>
      </c>
      <c r="F32" s="101" t="str">
        <f t="shared" si="8"/>
        <v/>
      </c>
      <c r="G32" s="99" t="str">
        <f t="shared" si="8"/>
        <v/>
      </c>
      <c r="H32" s="102" t="str">
        <f t="shared" si="8"/>
        <v/>
      </c>
      <c r="I32" s="103" t="str">
        <f>IF(AND(E32="",F32=""),"",IF(ISERROR(F32-E32),"",F32-E32))</f>
        <v/>
      </c>
      <c r="J32" s="311" t="str">
        <f>IFERROR(I32/ABS(E32),"")</f>
        <v/>
      </c>
    </row>
    <row r="33" spans="2:12" s="93" customFormat="1" x14ac:dyDescent="0.25">
      <c r="B33" s="98" t="s">
        <v>357</v>
      </c>
      <c r="C33" s="99" t="str">
        <f>IF(C27="","",-(C17-C27))</f>
        <v/>
      </c>
      <c r="D33" s="99" t="str">
        <f t="shared" ref="D33:H33" si="9">IF(D27="","",-(D17-D27))</f>
        <v/>
      </c>
      <c r="E33" s="100" t="str">
        <f t="shared" si="9"/>
        <v/>
      </c>
      <c r="F33" s="101" t="str">
        <f t="shared" si="9"/>
        <v/>
      </c>
      <c r="G33" s="99" t="str">
        <f t="shared" si="9"/>
        <v/>
      </c>
      <c r="H33" s="102" t="str">
        <f t="shared" si="9"/>
        <v/>
      </c>
      <c r="I33" s="103" t="str">
        <f>IF(AND(E33="",F33=""),"",IF(ISERROR(F33-E33),"",F33-E33))</f>
        <v/>
      </c>
      <c r="J33" s="311" t="str">
        <f>IFERROR(I33/ABS(E33),"")</f>
        <v/>
      </c>
    </row>
    <row r="34" spans="2:12" s="93" customFormat="1" x14ac:dyDescent="0.25">
      <c r="B34" s="98" t="s">
        <v>132</v>
      </c>
      <c r="C34" s="143"/>
      <c r="D34" s="261"/>
      <c r="E34" s="652"/>
      <c r="F34" s="664"/>
      <c r="G34" s="261"/>
      <c r="H34" s="665"/>
      <c r="I34" s="103" t="str">
        <f>IF(AND(E34="",F34=""),"",IF(ISERROR(F34-E34),"",F34-E34))</f>
        <v/>
      </c>
      <c r="J34" s="311" t="str">
        <f>IFERROR(I34/ABS(E34),"")</f>
        <v/>
      </c>
    </row>
    <row r="35" spans="2:12" s="93" customFormat="1" x14ac:dyDescent="0.25">
      <c r="B35" s="109"/>
      <c r="C35" s="135"/>
      <c r="D35" s="135"/>
      <c r="E35" s="136"/>
      <c r="F35" s="137"/>
      <c r="G35" s="136"/>
      <c r="H35" s="138"/>
      <c r="I35" s="136"/>
      <c r="J35" s="139"/>
      <c r="K35" s="136"/>
    </row>
    <row r="36" spans="2:12" s="93" customFormat="1" ht="21" customHeight="1" x14ac:dyDescent="0.25">
      <c r="B36" s="63" t="s">
        <v>241</v>
      </c>
      <c r="C36" s="140" t="str">
        <f>IFERROR(C11+SUM(C30:C34),"")</f>
        <v/>
      </c>
      <c r="D36" s="262" t="str">
        <f t="shared" ref="C36:H36" si="10">IFERROR(D11+SUM(D30:D34),"")</f>
        <v/>
      </c>
      <c r="E36" s="655" t="str">
        <f t="shared" si="10"/>
        <v/>
      </c>
      <c r="F36" s="671" t="str">
        <f t="shared" si="10"/>
        <v/>
      </c>
      <c r="G36" s="262" t="str">
        <f t="shared" si="10"/>
        <v/>
      </c>
      <c r="H36" s="672" t="str">
        <f t="shared" si="10"/>
        <v/>
      </c>
      <c r="I36" s="392" t="str">
        <f>IF(ISERROR(F36-E36),"",F36-E36)</f>
        <v/>
      </c>
      <c r="J36" s="122" t="str">
        <f>IFERROR(I36/ABS(E36),"")</f>
        <v/>
      </c>
    </row>
    <row r="37" spans="2:12" s="93" customFormat="1" x14ac:dyDescent="0.25">
      <c r="B37" s="251" t="s">
        <v>296</v>
      </c>
      <c r="C37" s="147"/>
      <c r="D37" s="147"/>
      <c r="E37" s="147"/>
      <c r="F37" s="673"/>
      <c r="G37" s="148"/>
      <c r="H37" s="674"/>
      <c r="I37" s="149"/>
      <c r="J37" s="150"/>
    </row>
    <row r="38" spans="2:12" s="93" customFormat="1" ht="15.75" customHeight="1" x14ac:dyDescent="0.25">
      <c r="B38" s="251" t="s">
        <v>292</v>
      </c>
      <c r="C38" s="147"/>
      <c r="D38" s="147"/>
      <c r="E38" s="147"/>
      <c r="F38" s="673"/>
      <c r="G38" s="148"/>
      <c r="H38" s="674"/>
      <c r="I38" s="149"/>
      <c r="J38" s="150"/>
    </row>
    <row r="39" spans="2:12" s="93" customFormat="1" ht="21" customHeight="1" x14ac:dyDescent="0.25">
      <c r="B39" s="63" t="s">
        <v>382</v>
      </c>
      <c r="C39" s="122" t="str">
        <f>IFERROR(C14/C36,"")</f>
        <v/>
      </c>
      <c r="D39" s="122" t="str">
        <f t="shared" ref="C39:H39" si="11">IFERROR(D14/D36,"")</f>
        <v/>
      </c>
      <c r="E39" s="123" t="str">
        <f t="shared" si="11"/>
        <v/>
      </c>
      <c r="F39" s="675" t="str">
        <f t="shared" si="11"/>
        <v/>
      </c>
      <c r="G39" s="122" t="str">
        <f t="shared" si="11"/>
        <v/>
      </c>
      <c r="H39" s="676" t="str">
        <f t="shared" si="11"/>
        <v/>
      </c>
      <c r="I39" s="141" t="str">
        <f>IF(ISERROR(F39-E39),"",F39-E39)</f>
        <v/>
      </c>
      <c r="J39" s="122" t="str">
        <f>IFERROR(I39/ABS(E39),"")</f>
        <v/>
      </c>
    </row>
    <row r="40" spans="2:12" s="93" customFormat="1" ht="21" customHeight="1" x14ac:dyDescent="0.25">
      <c r="B40" s="63" t="s">
        <v>242</v>
      </c>
      <c r="C40" s="122" t="str">
        <f>IFERROR(C13/C36,"")</f>
        <v/>
      </c>
      <c r="D40" s="122" t="str">
        <f t="shared" ref="C40:H40" si="12">IFERROR(D13/D36,"")</f>
        <v/>
      </c>
      <c r="E40" s="123" t="str">
        <f t="shared" si="12"/>
        <v/>
      </c>
      <c r="F40" s="675" t="str">
        <f t="shared" si="12"/>
        <v/>
      </c>
      <c r="G40" s="122" t="str">
        <f t="shared" si="12"/>
        <v/>
      </c>
      <c r="H40" s="676" t="str">
        <f t="shared" si="12"/>
        <v/>
      </c>
      <c r="I40" s="141" t="str">
        <f>IF(ISERROR(F40-E40),"",F40-E40)</f>
        <v/>
      </c>
      <c r="J40" s="122" t="str">
        <f>IFERROR(I40/ABS(E40),"")</f>
        <v/>
      </c>
    </row>
    <row r="41" spans="2:12" s="93" customFormat="1" ht="21" customHeight="1" x14ac:dyDescent="0.25">
      <c r="B41" s="63" t="s">
        <v>243</v>
      </c>
      <c r="C41" s="122" t="str">
        <f>IFERROR(Gastos_com_órgãos_sociais_2022/C36,"")</f>
        <v/>
      </c>
      <c r="D41" s="122" t="str">
        <f>IFERROR(Gastos_com_órgãos_sociais_P2023/D36,"")</f>
        <v/>
      </c>
      <c r="E41" s="123" t="str">
        <f>IFERROR(Gastos_com_órgãos_sociais_2023/E36,"")</f>
        <v/>
      </c>
      <c r="F41" s="124" t="str">
        <f>IFERROR(Gastos_com_órgãos_sociais_2024/F36,"")</f>
        <v/>
      </c>
      <c r="G41" s="125" t="str">
        <f>IFERROR(Gastos_com_órgãos_sociais_2025/G36,"")</f>
        <v/>
      </c>
      <c r="H41" s="126" t="str">
        <f>IFERROR(Gastos_com_órgãos_sociais_2026/H36,"")</f>
        <v/>
      </c>
      <c r="I41" s="141" t="str">
        <f>IF(ISERROR(F41-E41),"",F41-E41)</f>
        <v/>
      </c>
      <c r="J41" s="122" t="str">
        <f>IFERROR(I41/ABS(E41),"")</f>
        <v/>
      </c>
    </row>
    <row r="42" spans="2:12" x14ac:dyDescent="0.25"/>
    <row r="43" spans="2:12" x14ac:dyDescent="0.25"/>
    <row r="44" spans="2:12" x14ac:dyDescent="0.25">
      <c r="B44" s="285" t="s">
        <v>255</v>
      </c>
      <c r="C44" s="435" t="str">
        <f>+IFERROR(-C11-Gastos_Pessoal_2022,"-")</f>
        <v>-</v>
      </c>
      <c r="D44" s="310" t="str">
        <f>+IFERROR(-D11-Gastos_Pessoal_P2023,"-")</f>
        <v>-</v>
      </c>
      <c r="E44" s="310" t="str">
        <f>+IFERROR(-E11-Gastos_Pessoal_2023,"-")</f>
        <v>-</v>
      </c>
      <c r="F44" s="310" t="str">
        <f>+IFERROR(-F11-Gastos_Pessoal_2024,"-")</f>
        <v>-</v>
      </c>
      <c r="G44" s="310" t="str">
        <f>+IFERROR(-G11-Gastos_Pessoal_2025,"-")</f>
        <v>-</v>
      </c>
      <c r="H44" s="310" t="str">
        <f>+IFERROR(-H11-Gastos_Pessoal_2026,"-")</f>
        <v>-</v>
      </c>
    </row>
    <row r="45" spans="2:12" x14ac:dyDescent="0.25"/>
    <row r="46" spans="2:12" x14ac:dyDescent="0.25">
      <c r="B46" s="78"/>
      <c r="C46" s="78"/>
      <c r="D46" s="78"/>
      <c r="E46" s="78"/>
      <c r="F46" s="75"/>
      <c r="G46" s="75"/>
      <c r="H46" s="75"/>
      <c r="I46" s="75"/>
      <c r="J46" s="75"/>
      <c r="K46" s="75"/>
      <c r="L46" s="75"/>
    </row>
    <row r="47" spans="2:12" x14ac:dyDescent="0.25"/>
    <row r="48" spans="2:12" x14ac:dyDescent="0.25"/>
  </sheetData>
  <sheetProtection sheet="1" selectLockedCells="1"/>
  <mergeCells count="2">
    <mergeCell ref="I3:J3"/>
    <mergeCell ref="B3:B4"/>
  </mergeCells>
  <dataValidations count="3">
    <dataValidation type="custom" allowBlank="1" showInputMessage="1" showErrorMessage="1" errorTitle="Erro" error="Não introduzir dados nesta célula" sqref="H2:I2" xr:uid="{70949BED-4003-4CDE-942C-DA9E033C4656}">
      <formula1>"&lt;&gt;"""""</formula1>
    </dataValidation>
    <dataValidation type="decimal" operator="greaterThanOrEqual" allowBlank="1" showInputMessage="1" showErrorMessage="1" error="Introduzir valor positivo" sqref="F21:F27 G12:H13 G29:H29 C29:E29 C12:E27 G15:H27" xr:uid="{D7AB9C2A-41BA-4EC8-8EC5-CC3624250F8E}">
      <formula1>0</formula1>
    </dataValidation>
    <dataValidation allowBlank="1" showInputMessage="1" showErrorMessage="1" errorTitle="Erro" error="Não introduzir dados nesta célula" sqref="B44:H44" xr:uid="{DBD0F744-61F4-4487-8ECC-2966AB7304F7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ignoredErrors>
    <ignoredError sqref="I11:J11 I36:J36 I40:J4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13</vt:i4>
      </vt:variant>
      <vt:variant>
        <vt:lpstr>Intervalos com Nome</vt:lpstr>
      </vt:variant>
      <vt:variant>
        <vt:i4>194</vt:i4>
      </vt:variant>
    </vt:vector>
  </HeadingPairs>
  <TitlesOfParts>
    <vt:vector size="207" baseType="lpstr">
      <vt:lpstr>Índice</vt:lpstr>
      <vt:lpstr>Instruções</vt:lpstr>
      <vt:lpstr>Resumo</vt:lpstr>
      <vt:lpstr>BAL</vt:lpstr>
      <vt:lpstr>DR</vt:lpstr>
      <vt:lpstr>DFC</vt:lpstr>
      <vt:lpstr>Investimentos</vt:lpstr>
      <vt:lpstr>Eficiência operacional</vt:lpstr>
      <vt:lpstr>RH</vt:lpstr>
      <vt:lpstr>Mapa RH</vt:lpstr>
      <vt:lpstr>Outros</vt:lpstr>
      <vt:lpstr>Board</vt:lpstr>
      <vt:lpstr>Rácios Financeiros</vt:lpstr>
      <vt:lpstr>Ajuda_Investimento</vt:lpstr>
      <vt:lpstr>Ajuda_Investimento2</vt:lpstr>
      <vt:lpstr>Arrears_2022</vt:lpstr>
      <vt:lpstr>Arrears_2023</vt:lpstr>
      <vt:lpstr>Arrears_2024</vt:lpstr>
      <vt:lpstr>Arrears_2025</vt:lpstr>
      <vt:lpstr>Arrears_2026</vt:lpstr>
      <vt:lpstr>Ativo</vt:lpstr>
      <vt:lpstr>Ativo_2022</vt:lpstr>
      <vt:lpstr>Ativo_2023</vt:lpstr>
      <vt:lpstr>Ativo_2024</vt:lpstr>
      <vt:lpstr>Ativo_2024_1T</vt:lpstr>
      <vt:lpstr>Ativo_2024_2T</vt:lpstr>
      <vt:lpstr>Ativo_2024_3T</vt:lpstr>
      <vt:lpstr>Ativo_2024_4T</vt:lpstr>
      <vt:lpstr>Ativo_2025</vt:lpstr>
      <vt:lpstr>Ativo_2026</vt:lpstr>
      <vt:lpstr>Ativo_Corrente</vt:lpstr>
      <vt:lpstr>Ativo_Corrente_2022</vt:lpstr>
      <vt:lpstr>Ativo_Corrente_2023</vt:lpstr>
      <vt:lpstr>Ativo_Corrente_2024</vt:lpstr>
      <vt:lpstr>Ativo_Corrente_2025</vt:lpstr>
      <vt:lpstr>Ativo_Corrente_2026</vt:lpstr>
      <vt:lpstr>Ativo_Corrente_P2023</vt:lpstr>
      <vt:lpstr>Ativo_Não_Corrente</vt:lpstr>
      <vt:lpstr>Ativo_Não_Corrente_2022</vt:lpstr>
      <vt:lpstr>Ativo_Não_Corrente_2023</vt:lpstr>
      <vt:lpstr>Ativo_Não_Corrente_2024</vt:lpstr>
      <vt:lpstr>Ativo_Não_Corrente_2025</vt:lpstr>
      <vt:lpstr>Ativo_Não_Corrente_2026</vt:lpstr>
      <vt:lpstr>Ativo_Não_Corrente_P2023</vt:lpstr>
      <vt:lpstr>Ativo_P2023</vt:lpstr>
      <vt:lpstr>Caixa_DFC_2022</vt:lpstr>
      <vt:lpstr>Caixa_DFC_2023</vt:lpstr>
      <vt:lpstr>Caixa_DFC_2024</vt:lpstr>
      <vt:lpstr>Caixa_DFC_2024_1T</vt:lpstr>
      <vt:lpstr>Caixa_DFC_2024_2T</vt:lpstr>
      <vt:lpstr>Caixa_DFC_2024_3T</vt:lpstr>
      <vt:lpstr>Caixa_DFC_2024_4T</vt:lpstr>
      <vt:lpstr>Caixa_DFC_2025</vt:lpstr>
      <vt:lpstr>Caixa_DFC_2026</vt:lpstr>
      <vt:lpstr>Caixa_DFC_P2023</vt:lpstr>
      <vt:lpstr>CMVMC_2022</vt:lpstr>
      <vt:lpstr>CMVMC_2023</vt:lpstr>
      <vt:lpstr>CMVMC_2024</vt:lpstr>
      <vt:lpstr>CMVMC_2025</vt:lpstr>
      <vt:lpstr>CMVMC_2026</vt:lpstr>
      <vt:lpstr>CMVMC_P2023</vt:lpstr>
      <vt:lpstr>Disponibilidade_2022</vt:lpstr>
      <vt:lpstr>Disponibilidade_2023</vt:lpstr>
      <vt:lpstr>Disponibilidade_2024</vt:lpstr>
      <vt:lpstr>Disponibilidade_2024_1T</vt:lpstr>
      <vt:lpstr>Disponibilidade_2024_2T</vt:lpstr>
      <vt:lpstr>Disponibilidade_2024_3T</vt:lpstr>
      <vt:lpstr>Disponibilidade_2024_4T</vt:lpstr>
      <vt:lpstr>Disponibilidade_2025</vt:lpstr>
      <vt:lpstr>Disponibilidade_2026</vt:lpstr>
      <vt:lpstr>Disponibilidade_P2023</vt:lpstr>
      <vt:lpstr>E_Oper_2022</vt:lpstr>
      <vt:lpstr>E_Oper_2023</vt:lpstr>
      <vt:lpstr>E_Oper_2024</vt:lpstr>
      <vt:lpstr>E_Oper_2025</vt:lpstr>
      <vt:lpstr>E_Oper_2026</vt:lpstr>
      <vt:lpstr>EBITDA_2022</vt:lpstr>
      <vt:lpstr>EBITDA_2023</vt:lpstr>
      <vt:lpstr>EBITDA_2024</vt:lpstr>
      <vt:lpstr>EBITDA_2025</vt:lpstr>
      <vt:lpstr>EBITDA_2026</vt:lpstr>
      <vt:lpstr>EBITDA_P2023</vt:lpstr>
      <vt:lpstr>FO_PC_2022</vt:lpstr>
      <vt:lpstr>FO_PC_2023</vt:lpstr>
      <vt:lpstr>FO_PC_2024</vt:lpstr>
      <vt:lpstr>FO_PC_2025</vt:lpstr>
      <vt:lpstr>FO_PC_2026</vt:lpstr>
      <vt:lpstr>FO_PNC_2022</vt:lpstr>
      <vt:lpstr>FO_PNC_2023</vt:lpstr>
      <vt:lpstr>FO_PNC_2024</vt:lpstr>
      <vt:lpstr>FO_PNC_2025</vt:lpstr>
      <vt:lpstr>FO_PNC_2026</vt:lpstr>
      <vt:lpstr>FSE_2022</vt:lpstr>
      <vt:lpstr>FSE_2023</vt:lpstr>
      <vt:lpstr>FSE_2024</vt:lpstr>
      <vt:lpstr>FSE_2025</vt:lpstr>
      <vt:lpstr>FSE_2026</vt:lpstr>
      <vt:lpstr>FSE_P2023</vt:lpstr>
      <vt:lpstr>Gastos_com_órgãos_sociais_2022</vt:lpstr>
      <vt:lpstr>Gastos_com_órgãos_sociais_2023</vt:lpstr>
      <vt:lpstr>Gastos_com_órgãos_sociais_2024</vt:lpstr>
      <vt:lpstr>Gastos_com_órgãos_sociais_2025</vt:lpstr>
      <vt:lpstr>Gastos_com_órgãos_sociais_2026</vt:lpstr>
      <vt:lpstr>Gastos_com_órgãos_sociais_P2023</vt:lpstr>
      <vt:lpstr>Gastos_Pessoal_2022</vt:lpstr>
      <vt:lpstr>Gastos_Pessoal_2023</vt:lpstr>
      <vt:lpstr>Gastos_Pessoal_2024</vt:lpstr>
      <vt:lpstr>Gastos_Pessoal_2025</vt:lpstr>
      <vt:lpstr>Gastos_Pessoal_2026</vt:lpstr>
      <vt:lpstr>Gastos_Pessoal_P2023</vt:lpstr>
      <vt:lpstr>GO_2022</vt:lpstr>
      <vt:lpstr>GO_2023</vt:lpstr>
      <vt:lpstr>GO_2024</vt:lpstr>
      <vt:lpstr>GO_2025</vt:lpstr>
      <vt:lpstr>GO_2026</vt:lpstr>
      <vt:lpstr>O_G_Operac_2022</vt:lpstr>
      <vt:lpstr>O_G_Operac_2023</vt:lpstr>
      <vt:lpstr>O_G_Operac_2024</vt:lpstr>
      <vt:lpstr>O_G_Operac_2025</vt:lpstr>
      <vt:lpstr>O_G_Operac_2026</vt:lpstr>
      <vt:lpstr>Passivo</vt:lpstr>
      <vt:lpstr>Passivo_2022</vt:lpstr>
      <vt:lpstr>Passivo_2023</vt:lpstr>
      <vt:lpstr>Passivo_2024</vt:lpstr>
      <vt:lpstr>Passivo_2025</vt:lpstr>
      <vt:lpstr>Passivo_2026</vt:lpstr>
      <vt:lpstr>Passivo_Corrente</vt:lpstr>
      <vt:lpstr>Passivo_Corrente_2022</vt:lpstr>
      <vt:lpstr>Passivo_Corrente_2023</vt:lpstr>
      <vt:lpstr>Passivo_Corrente_2024</vt:lpstr>
      <vt:lpstr>Passivo_Corrente_2025</vt:lpstr>
      <vt:lpstr>Passivo_Corrente_2026</vt:lpstr>
      <vt:lpstr>Passivo_Corrente_P2023</vt:lpstr>
      <vt:lpstr>Passivo_Não_Corrente</vt:lpstr>
      <vt:lpstr>Passivo_Não_Corrente_2022</vt:lpstr>
      <vt:lpstr>Passivo_Não_Corrente_2023</vt:lpstr>
      <vt:lpstr>Passivo_Não_Corrente_2024</vt:lpstr>
      <vt:lpstr>Passivo_Não_Corrente_2025</vt:lpstr>
      <vt:lpstr>Passivo_Não_Corrente_2026</vt:lpstr>
      <vt:lpstr>Passivo_Não_Corrente_P2023</vt:lpstr>
      <vt:lpstr>Passivo_P2023</vt:lpstr>
      <vt:lpstr>Patrimonio_2022</vt:lpstr>
      <vt:lpstr>Patrimonio_2023</vt:lpstr>
      <vt:lpstr>Patrimonio_2024</vt:lpstr>
      <vt:lpstr>Patrimonio_2025</vt:lpstr>
      <vt:lpstr>Patrimonio_2026</vt:lpstr>
      <vt:lpstr>Patrimonio_Liquido_2022</vt:lpstr>
      <vt:lpstr>Patrimonio_Liquido_2023</vt:lpstr>
      <vt:lpstr>Patrimonio_Liquido_2024</vt:lpstr>
      <vt:lpstr>Patrimonio_Liquido_2025</vt:lpstr>
      <vt:lpstr>Patrimonio_Liquido_2026</vt:lpstr>
      <vt:lpstr>Patrimonio_Liquido_P2023</vt:lpstr>
      <vt:lpstr>PMP_2022</vt:lpstr>
      <vt:lpstr>PMP_2023</vt:lpstr>
      <vt:lpstr>PMP_2024</vt:lpstr>
      <vt:lpstr>PMP_2025</vt:lpstr>
      <vt:lpstr>PMP_2026</vt:lpstr>
      <vt:lpstr>PS_2022</vt:lpstr>
      <vt:lpstr>PS_2023</vt:lpstr>
      <vt:lpstr>PS_2024</vt:lpstr>
      <vt:lpstr>PS_2025</vt:lpstr>
      <vt:lpstr>PS_2026</vt:lpstr>
      <vt:lpstr>PS_P2023</vt:lpstr>
      <vt:lpstr>RAI_2022</vt:lpstr>
      <vt:lpstr>RAI_2023</vt:lpstr>
      <vt:lpstr>RAI_2024</vt:lpstr>
      <vt:lpstr>RAI_2025</vt:lpstr>
      <vt:lpstr>RAI_2026</vt:lpstr>
      <vt:lpstr>RAI_P2023</vt:lpstr>
      <vt:lpstr>RL_2022</vt:lpstr>
      <vt:lpstr>RL_2023</vt:lpstr>
      <vt:lpstr>RL_2024</vt:lpstr>
      <vt:lpstr>RL_2024_1T</vt:lpstr>
      <vt:lpstr>RL_2024_2T</vt:lpstr>
      <vt:lpstr>RL_2024_3T</vt:lpstr>
      <vt:lpstr>RL_2024_4T</vt:lpstr>
      <vt:lpstr>RL_2025</vt:lpstr>
      <vt:lpstr>RL_2026</vt:lpstr>
      <vt:lpstr>RL_Bal_2022</vt:lpstr>
      <vt:lpstr>RL_Bal_2023</vt:lpstr>
      <vt:lpstr>RL_Bal_2024</vt:lpstr>
      <vt:lpstr>RL_Bal_2024_1T</vt:lpstr>
      <vt:lpstr>RL_Bal_2024_2T</vt:lpstr>
      <vt:lpstr>RL_Bal_2024_3T</vt:lpstr>
      <vt:lpstr>RL_Bal_2024_4T</vt:lpstr>
      <vt:lpstr>RL_Bal_2025</vt:lpstr>
      <vt:lpstr>RL_Bal_2026</vt:lpstr>
      <vt:lpstr>RL_Bal_P2023</vt:lpstr>
      <vt:lpstr>RL_P2023</vt:lpstr>
      <vt:lpstr>RO_2022</vt:lpstr>
      <vt:lpstr>RO_2023</vt:lpstr>
      <vt:lpstr>RO_2024</vt:lpstr>
      <vt:lpstr>RO_2025</vt:lpstr>
      <vt:lpstr>RO_2026</vt:lpstr>
      <vt:lpstr>RO_P2023</vt:lpstr>
      <vt:lpstr>Total_do_Património_Líquido</vt:lpstr>
      <vt:lpstr>Vendas_2022</vt:lpstr>
      <vt:lpstr>Vendas_2023</vt:lpstr>
      <vt:lpstr>Vendas_2024</vt:lpstr>
      <vt:lpstr>Vendas_2025</vt:lpstr>
      <vt:lpstr>Vendas_2026</vt:lpstr>
      <vt:lpstr>Vendas_P2023</vt:lpstr>
      <vt:lpstr>VN_2022</vt:lpstr>
      <vt:lpstr>VN_2023</vt:lpstr>
      <vt:lpstr>VN_2024</vt:lpstr>
      <vt:lpstr>VN_2025</vt:lpstr>
      <vt:lpstr>VN_2026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Gabinete SET</dc:creator>
  <cp:lastModifiedBy>Manuel Leite</cp:lastModifiedBy>
  <cp:lastPrinted>2023-08-31T18:25:30Z</cp:lastPrinted>
  <dcterms:created xsi:type="dcterms:W3CDTF">2023-07-25T14:02:33Z</dcterms:created>
  <dcterms:modified xsi:type="dcterms:W3CDTF">2023-08-31T18:26:13Z</dcterms:modified>
</cp:coreProperties>
</file>